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70" yWindow="600" windowWidth="20775" windowHeight="8895"/>
  </bookViews>
  <sheets>
    <sheet name="RESUMO" sheetId="1" r:id="rId1"/>
    <sheet name="AUX. LIMP." sheetId="2" r:id="rId2"/>
    <sheet name="SERV. LIMP. - EXT." sheetId="3" r:id="rId3"/>
    <sheet name="AG. LIMP. E DESINF. (I40%)" sheetId="4" r:id="rId4"/>
    <sheet name="AG. COLETA (I40%)" sheetId="5" r:id="rId5"/>
    <sheet name="COPEIRO" sheetId="6" r:id="rId6"/>
    <sheet name="JARDINEIRO" sheetId="7" r:id="rId7"/>
    <sheet name="JARD. PODADOR (P30%)" sheetId="8" r:id="rId8"/>
    <sheet name="LAVADOR DE VEÍCULOS" sheetId="9" r:id="rId9"/>
    <sheet name="OPERADOR DE PÁ E TRATORES" sheetId="10" r:id="rId10"/>
    <sheet name="MOTO. COLETA (I40%)" sheetId="11" r:id="rId11"/>
    <sheet name="SUPERVISOR" sheetId="12" r:id="rId12"/>
    <sheet name="RESUMO - INSUMOS DIVERSOS" sheetId="13" r:id="rId13"/>
    <sheet name="DETALHAMENTO HORAS EXTRAS" sheetId="14" r:id="rId14"/>
    <sheet name="UNIFORMES" sheetId="15" r:id="rId15"/>
    <sheet name="EPI" sheetId="16" r:id="rId16"/>
    <sheet name="FERRAMENTAS E EQUIP" sheetId="17" r:id="rId17"/>
    <sheet name="MATERIAIS A DISPONIBILIZAR" sheetId="18" r:id="rId18"/>
  </sheets>
  <definedNames>
    <definedName name="Area_2" localSheetId="4">#REF!</definedName>
    <definedName name="Area_2" localSheetId="3">#REF!</definedName>
    <definedName name="Area_2" localSheetId="5">#REF!</definedName>
    <definedName name="Area_2" localSheetId="7">#REF!</definedName>
    <definedName name="Area_2" localSheetId="6">#REF!</definedName>
    <definedName name="Area_2" localSheetId="8">#REF!</definedName>
    <definedName name="Area_2" localSheetId="10">#REF!</definedName>
    <definedName name="Area_2" localSheetId="9">#REF!</definedName>
    <definedName name="Area_2" localSheetId="2">#REF!</definedName>
    <definedName name="Area_2" localSheetId="11">#REF!</definedName>
    <definedName name="Area_2">#REF!</definedName>
    <definedName name="aREA1" localSheetId="4">#REF!</definedName>
    <definedName name="aREA1" localSheetId="3">#REF!</definedName>
    <definedName name="aREA1" localSheetId="5">#REF!</definedName>
    <definedName name="aREA1" localSheetId="7">#REF!</definedName>
    <definedName name="aREA1" localSheetId="6">#REF!</definedName>
    <definedName name="aREA1" localSheetId="8">#REF!</definedName>
    <definedName name="aREA1" localSheetId="10">#REF!</definedName>
    <definedName name="aREA1" localSheetId="9">#REF!</definedName>
    <definedName name="aREA1" localSheetId="2">#REF!</definedName>
    <definedName name="aREA1" localSheetId="11">#REF!</definedName>
    <definedName name="aREA1">#REF!</definedName>
    <definedName name="area2" localSheetId="4">#REF!</definedName>
    <definedName name="area2" localSheetId="3">#REF!</definedName>
    <definedName name="area2" localSheetId="5">#REF!</definedName>
    <definedName name="area2" localSheetId="7">#REF!</definedName>
    <definedName name="area2" localSheetId="6">#REF!</definedName>
    <definedName name="area2" localSheetId="8">#REF!</definedName>
    <definedName name="area2" localSheetId="10">#REF!</definedName>
    <definedName name="area2" localSheetId="9">#REF!</definedName>
    <definedName name="area2" localSheetId="2">#REF!</definedName>
    <definedName name="area2" localSheetId="11">#REF!</definedName>
    <definedName name="area2">#REF!</definedName>
    <definedName name="Area3" localSheetId="4">#REF!</definedName>
    <definedName name="Area3" localSheetId="3">#REF!</definedName>
    <definedName name="Area3" localSheetId="5">#REF!</definedName>
    <definedName name="Area3" localSheetId="7">#REF!</definedName>
    <definedName name="Area3" localSheetId="6">#REF!</definedName>
    <definedName name="Area3" localSheetId="8">#REF!</definedName>
    <definedName name="Area3" localSheetId="10">#REF!</definedName>
    <definedName name="Area3" localSheetId="9">#REF!</definedName>
    <definedName name="Area3" localSheetId="2">#REF!</definedName>
    <definedName name="Area3" localSheetId="11">#REF!</definedName>
    <definedName name="Area3">#REF!</definedName>
    <definedName name="Area4" localSheetId="4">#REF!</definedName>
    <definedName name="Area4" localSheetId="3">#REF!</definedName>
    <definedName name="Area4" localSheetId="5">#REF!</definedName>
    <definedName name="Area4" localSheetId="7">#REF!</definedName>
    <definedName name="Area4" localSheetId="6">#REF!</definedName>
    <definedName name="Area4" localSheetId="8">#REF!</definedName>
    <definedName name="Area4" localSheetId="10">#REF!</definedName>
    <definedName name="Area4" localSheetId="9">#REF!</definedName>
    <definedName name="Area4" localSheetId="2">#REF!</definedName>
    <definedName name="Area4" localSheetId="11">#REF!</definedName>
    <definedName name="Area4">#REF!</definedName>
    <definedName name="Excel_BuiltIn_Print_Area" localSheetId="4">#REF!</definedName>
    <definedName name="Excel_BuiltIn_Print_Area" localSheetId="3">#REF!</definedName>
    <definedName name="Excel_BuiltIn_Print_Area" localSheetId="5">#REF!</definedName>
    <definedName name="Excel_BuiltIn_Print_Area" localSheetId="7">#REF!</definedName>
    <definedName name="Excel_BuiltIn_Print_Area" localSheetId="6">#REF!</definedName>
    <definedName name="Excel_BuiltIn_Print_Area" localSheetId="8">#REF!</definedName>
    <definedName name="Excel_BuiltIn_Print_Area" localSheetId="10">#REF!</definedName>
    <definedName name="Excel_BuiltIn_Print_Area" localSheetId="9">#REF!</definedName>
    <definedName name="Excel_BuiltIn_Print_Area" localSheetId="2">#REF!</definedName>
    <definedName name="Excel_BuiltIn_Print_Area" localSheetId="11">#REF!</definedName>
    <definedName name="Excel_BuiltIn_Print_Area">#REF!</definedName>
    <definedName name="Excel_BuiltIn_Print_Area_1" localSheetId="4">#REF!</definedName>
    <definedName name="Excel_BuiltIn_Print_Area_1" localSheetId="3">#REF!</definedName>
    <definedName name="Excel_BuiltIn_Print_Area_1" localSheetId="5">#REF!</definedName>
    <definedName name="Excel_BuiltIn_Print_Area_1" localSheetId="7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9">#REF!</definedName>
    <definedName name="Excel_BuiltIn_Print_Area_1" localSheetId="2">#REF!</definedName>
    <definedName name="Excel_BuiltIn_Print_Area_1" localSheetId="11">#REF!</definedName>
    <definedName name="Excel_BuiltIn_Print_Area_1">#REF!</definedName>
    <definedName name="Excel_BuiltIn_Print_Area_2" localSheetId="4">#REF!</definedName>
    <definedName name="Excel_BuiltIn_Print_Area_2" localSheetId="3">#REF!</definedName>
    <definedName name="Excel_BuiltIn_Print_Area_2" localSheetId="5">#REF!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10">#REF!</definedName>
    <definedName name="Excel_BuiltIn_Print_Area_2" localSheetId="9">#REF!</definedName>
    <definedName name="Excel_BuiltIn_Print_Area_2" localSheetId="2">#REF!</definedName>
    <definedName name="Excel_BuiltIn_Print_Area_2" localSheetId="11">#REF!</definedName>
    <definedName name="Excel_BuiltIn_Print_Area_2">#REF!</definedName>
    <definedName name="Excel_um" localSheetId="4">#REF!</definedName>
    <definedName name="Excel_um" localSheetId="3">#REF!</definedName>
    <definedName name="Excel_um" localSheetId="5">#REF!</definedName>
    <definedName name="Excel_um" localSheetId="7">#REF!</definedName>
    <definedName name="Excel_um" localSheetId="6">#REF!</definedName>
    <definedName name="Excel_um" localSheetId="8">#REF!</definedName>
    <definedName name="Excel_um" localSheetId="10">#REF!</definedName>
    <definedName name="Excel_um" localSheetId="9">#REF!</definedName>
    <definedName name="Excel_um" localSheetId="2">#REF!</definedName>
    <definedName name="Excel_um" localSheetId="11">#REF!</definedName>
    <definedName name="Excel_um">#REF!</definedName>
    <definedName name="Pintor" localSheetId="4">#REF!</definedName>
    <definedName name="Pintor" localSheetId="3">#REF!</definedName>
    <definedName name="Pintor" localSheetId="5">#REF!</definedName>
    <definedName name="Pintor" localSheetId="7">#REF!</definedName>
    <definedName name="Pintor" localSheetId="6">#REF!</definedName>
    <definedName name="Pintor" localSheetId="8">#REF!</definedName>
    <definedName name="Pintor" localSheetId="10">#REF!</definedName>
    <definedName name="Pintor" localSheetId="9">#REF!</definedName>
    <definedName name="Pintor" localSheetId="2">#REF!</definedName>
    <definedName name="Pintor" localSheetId="11">#REF!</definedName>
    <definedName name="Pintor">#REF!</definedName>
    <definedName name="Pintor1" localSheetId="4">#REF!</definedName>
    <definedName name="Pintor1" localSheetId="3">#REF!</definedName>
    <definedName name="Pintor1" localSheetId="5">#REF!</definedName>
    <definedName name="Pintor1" localSheetId="7">#REF!</definedName>
    <definedName name="Pintor1" localSheetId="6">#REF!</definedName>
    <definedName name="Pintor1" localSheetId="8">#REF!</definedName>
    <definedName name="Pintor1" localSheetId="10">#REF!</definedName>
    <definedName name="Pintor1" localSheetId="9">#REF!</definedName>
    <definedName name="Pintor1" localSheetId="2">#REF!</definedName>
    <definedName name="Pintor1" localSheetId="11">#REF!</definedName>
    <definedName name="Pintor1">#REF!</definedName>
    <definedName name="um" localSheetId="4">#REF!</definedName>
    <definedName name="um" localSheetId="3">#REF!</definedName>
    <definedName name="um" localSheetId="5">#REF!</definedName>
    <definedName name="um" localSheetId="7">#REF!</definedName>
    <definedName name="um" localSheetId="6">#REF!</definedName>
    <definedName name="um" localSheetId="8">#REF!</definedName>
    <definedName name="um" localSheetId="10">#REF!</definedName>
    <definedName name="um" localSheetId="9">#REF!</definedName>
    <definedName name="um" localSheetId="2">#REF!</definedName>
    <definedName name="um" localSheetId="11">#REF!</definedName>
    <definedName name="um">#REF!</definedName>
  </definedNames>
  <calcPr calcId="145621"/>
  <extLst>
    <ext uri="GoogleSheetsCustomDataVersion1">
      <go:sheetsCustomData xmlns:go="http://customooxmlschemas.google.com/" r:id="rId22" roundtripDataSignature="AMtx7mh/bOIZZTMYN9u/YjMA1q6VK8rvUQ=="/>
    </ext>
  </extLst>
</workbook>
</file>

<file path=xl/calcChain.xml><?xml version="1.0" encoding="utf-8"?>
<calcChain xmlns="http://schemas.openxmlformats.org/spreadsheetml/2006/main">
  <c r="E65" i="18" l="1"/>
  <c r="F65" i="18" s="1"/>
  <c r="E64" i="18"/>
  <c r="F64" i="18" s="1"/>
  <c r="F63" i="18"/>
  <c r="E63" i="18"/>
  <c r="D63" i="18"/>
  <c r="E62" i="18"/>
  <c r="F62" i="18" s="1"/>
  <c r="F61" i="18"/>
  <c r="E61" i="18"/>
  <c r="E60" i="18"/>
  <c r="F60" i="18" s="1"/>
  <c r="F59" i="18"/>
  <c r="E59" i="18"/>
  <c r="D59" i="18"/>
  <c r="D58" i="18"/>
  <c r="F58" i="18" s="1"/>
  <c r="E57" i="18"/>
  <c r="F57" i="18" s="1"/>
  <c r="D57" i="18"/>
  <c r="F49" i="18"/>
  <c r="F48" i="18"/>
  <c r="F47" i="18"/>
  <c r="E39" i="18"/>
  <c r="F39" i="18" s="1"/>
  <c r="E38" i="18"/>
  <c r="F38" i="18" s="1"/>
  <c r="E37" i="18"/>
  <c r="F37" i="18" s="1"/>
  <c r="F36" i="18"/>
  <c r="F35" i="18"/>
  <c r="F34" i="18"/>
  <c r="E33" i="18"/>
  <c r="F33" i="18" s="1"/>
  <c r="F32" i="18"/>
  <c r="E32" i="18"/>
  <c r="E31" i="18"/>
  <c r="F31" i="18" s="1"/>
  <c r="F30" i="18"/>
  <c r="E30" i="18"/>
  <c r="E29" i="18"/>
  <c r="F29" i="18" s="1"/>
  <c r="F28" i="18"/>
  <c r="E28" i="18"/>
  <c r="E27" i="18"/>
  <c r="F27" i="18" s="1"/>
  <c r="F26" i="18"/>
  <c r="E26" i="18"/>
  <c r="E25" i="18"/>
  <c r="F25" i="18" s="1"/>
  <c r="F24" i="18"/>
  <c r="E24" i="18"/>
  <c r="F23" i="18"/>
  <c r="F22" i="18"/>
  <c r="F21" i="18"/>
  <c r="F20" i="18"/>
  <c r="F19" i="18"/>
  <c r="F18" i="18"/>
  <c r="F17" i="18"/>
  <c r="F16" i="18"/>
  <c r="E15" i="18"/>
  <c r="F15" i="18" s="1"/>
  <c r="F14" i="18"/>
  <c r="E14" i="18"/>
  <c r="E13" i="18"/>
  <c r="F13" i="18" s="1"/>
  <c r="F12" i="18"/>
  <c r="E12" i="18"/>
  <c r="E11" i="18"/>
  <c r="F11" i="18" s="1"/>
  <c r="F10" i="18"/>
  <c r="E10" i="18"/>
  <c r="E9" i="18"/>
  <c r="F9" i="18" s="1"/>
  <c r="F8" i="18"/>
  <c r="E8" i="18"/>
  <c r="E7" i="18"/>
  <c r="F7" i="18" s="1"/>
  <c r="F6" i="18"/>
  <c r="F40" i="18" s="1"/>
  <c r="F41" i="18" s="1"/>
  <c r="F42" i="18" s="1"/>
  <c r="E6" i="18"/>
  <c r="E5" i="18"/>
  <c r="F5" i="18" s="1"/>
  <c r="E57" i="17"/>
  <c r="F57" i="17" s="1"/>
  <c r="G57" i="17" s="1"/>
  <c r="F56" i="17"/>
  <c r="F49" i="17"/>
  <c r="F50" i="17" s="1"/>
  <c r="F51" i="17" s="1"/>
  <c r="E48" i="17"/>
  <c r="F48" i="17" s="1"/>
  <c r="G48" i="17" s="1"/>
  <c r="E47" i="17"/>
  <c r="F47" i="17" s="1"/>
  <c r="G47" i="17" s="1"/>
  <c r="G46" i="17"/>
  <c r="F46" i="17"/>
  <c r="E46" i="17"/>
  <c r="E45" i="17"/>
  <c r="F45" i="17" s="1"/>
  <c r="G45" i="17" s="1"/>
  <c r="G49" i="17" s="1"/>
  <c r="G50" i="17" s="1"/>
  <c r="G51" i="17" s="1"/>
  <c r="F37" i="17"/>
  <c r="G37" i="17" s="1"/>
  <c r="E37" i="17"/>
  <c r="E36" i="17"/>
  <c r="F36" i="17" s="1"/>
  <c r="G36" i="17" s="1"/>
  <c r="E35" i="17"/>
  <c r="F35" i="17" s="1"/>
  <c r="G35" i="17" s="1"/>
  <c r="G34" i="17"/>
  <c r="E34" i="17"/>
  <c r="F34" i="17" s="1"/>
  <c r="F33" i="17"/>
  <c r="G33" i="17" s="1"/>
  <c r="E33" i="17"/>
  <c r="E32" i="17"/>
  <c r="F32" i="17" s="1"/>
  <c r="G32" i="17" s="1"/>
  <c r="E31" i="17"/>
  <c r="F31" i="17" s="1"/>
  <c r="G31" i="17" s="1"/>
  <c r="G30" i="17"/>
  <c r="E30" i="17"/>
  <c r="F30" i="17" s="1"/>
  <c r="F29" i="17"/>
  <c r="G29" i="17" s="1"/>
  <c r="E29" i="17"/>
  <c r="E28" i="17"/>
  <c r="F28" i="17" s="1"/>
  <c r="G28" i="17" s="1"/>
  <c r="E27" i="17"/>
  <c r="F27" i="17" s="1"/>
  <c r="G27" i="17" s="1"/>
  <c r="G26" i="17"/>
  <c r="E26" i="17"/>
  <c r="F26" i="17" s="1"/>
  <c r="F25" i="17"/>
  <c r="G25" i="17" s="1"/>
  <c r="E25" i="17"/>
  <c r="E24" i="17"/>
  <c r="F24" i="17" s="1"/>
  <c r="G24" i="17" s="1"/>
  <c r="E23" i="17"/>
  <c r="F23" i="17" s="1"/>
  <c r="G23" i="17" s="1"/>
  <c r="G22" i="17"/>
  <c r="E22" i="17"/>
  <c r="F22" i="17" s="1"/>
  <c r="F21" i="17"/>
  <c r="G21" i="17" s="1"/>
  <c r="E21" i="17"/>
  <c r="E20" i="17"/>
  <c r="F20" i="17" s="1"/>
  <c r="G20" i="17" s="1"/>
  <c r="E19" i="17"/>
  <c r="F19" i="17" s="1"/>
  <c r="G19" i="17" s="1"/>
  <c r="G18" i="17"/>
  <c r="E18" i="17"/>
  <c r="F18" i="17" s="1"/>
  <c r="F17" i="17"/>
  <c r="G17" i="17" s="1"/>
  <c r="E17" i="17"/>
  <c r="E16" i="17"/>
  <c r="F16" i="17" s="1"/>
  <c r="G16" i="17" s="1"/>
  <c r="E15" i="17"/>
  <c r="F15" i="17" s="1"/>
  <c r="G15" i="17" s="1"/>
  <c r="G14" i="17"/>
  <c r="E14" i="17"/>
  <c r="F14" i="17" s="1"/>
  <c r="F13" i="17"/>
  <c r="G13" i="17" s="1"/>
  <c r="E13" i="17"/>
  <c r="E12" i="17"/>
  <c r="F12" i="17" s="1"/>
  <c r="G12" i="17" s="1"/>
  <c r="E11" i="17"/>
  <c r="F11" i="17" s="1"/>
  <c r="G11" i="17" s="1"/>
  <c r="G10" i="17"/>
  <c r="E10" i="17"/>
  <c r="F10" i="17" s="1"/>
  <c r="F9" i="17"/>
  <c r="G9" i="17" s="1"/>
  <c r="E9" i="17"/>
  <c r="E7" i="17"/>
  <c r="G6" i="17"/>
  <c r="E6" i="17"/>
  <c r="F6" i="17" s="1"/>
  <c r="F5" i="17"/>
  <c r="E5" i="17"/>
  <c r="F87" i="16"/>
  <c r="E87" i="16"/>
  <c r="E86" i="16"/>
  <c r="F86" i="16" s="1"/>
  <c r="F85" i="16"/>
  <c r="E85" i="16"/>
  <c r="E82" i="16"/>
  <c r="F82" i="16" s="1"/>
  <c r="E75" i="16"/>
  <c r="F75" i="16" s="1"/>
  <c r="F74" i="16"/>
  <c r="E74" i="16"/>
  <c r="F66" i="16"/>
  <c r="E64" i="16"/>
  <c r="F64" i="16" s="1"/>
  <c r="F63" i="16"/>
  <c r="E63" i="16"/>
  <c r="E56" i="16"/>
  <c r="E46" i="16"/>
  <c r="F46" i="16" s="1"/>
  <c r="E44" i="16"/>
  <c r="F44" i="16" s="1"/>
  <c r="E37" i="16"/>
  <c r="F37" i="16" s="1"/>
  <c r="F36" i="16"/>
  <c r="F35" i="16"/>
  <c r="F33" i="16"/>
  <c r="E33" i="16"/>
  <c r="F32" i="16"/>
  <c r="E31" i="16"/>
  <c r="F31" i="16" s="1"/>
  <c r="E30" i="16"/>
  <c r="F30" i="16" s="1"/>
  <c r="E29" i="16"/>
  <c r="F29" i="16" s="1"/>
  <c r="F22" i="16"/>
  <c r="E22" i="16"/>
  <c r="E36" i="16" s="1"/>
  <c r="E45" i="16" s="1"/>
  <c r="E21" i="16"/>
  <c r="F21" i="16" s="1"/>
  <c r="E20" i="16"/>
  <c r="F20" i="16" s="1"/>
  <c r="F18" i="16"/>
  <c r="E18" i="16"/>
  <c r="E16" i="16"/>
  <c r="F9" i="16"/>
  <c r="E9" i="16"/>
  <c r="E8" i="16"/>
  <c r="F8" i="16" s="1"/>
  <c r="F7" i="16"/>
  <c r="E7" i="16"/>
  <c r="E19" i="16" s="1"/>
  <c r="F19" i="16" s="1"/>
  <c r="E6" i="16"/>
  <c r="F6" i="16" s="1"/>
  <c r="E5" i="16"/>
  <c r="F5" i="16" s="1"/>
  <c r="G34" i="15"/>
  <c r="F34" i="15"/>
  <c r="F33" i="15"/>
  <c r="G33" i="15" s="1"/>
  <c r="G35" i="15" s="1"/>
  <c r="G36" i="15" s="1"/>
  <c r="G28" i="15"/>
  <c r="G27" i="15"/>
  <c r="F26" i="15"/>
  <c r="G26" i="15" s="1"/>
  <c r="G20" i="15"/>
  <c r="G21" i="15" s="1"/>
  <c r="F19" i="15"/>
  <c r="G19" i="15" s="1"/>
  <c r="F18" i="15"/>
  <c r="G18" i="15" s="1"/>
  <c r="F17" i="15"/>
  <c r="G17" i="15" s="1"/>
  <c r="L10" i="15"/>
  <c r="M10" i="15" s="1"/>
  <c r="F10" i="15"/>
  <c r="G10" i="15" s="1"/>
  <c r="L9" i="15"/>
  <c r="M9" i="15" s="1"/>
  <c r="F9" i="15"/>
  <c r="G9" i="15" s="1"/>
  <c r="M8" i="15"/>
  <c r="L8" i="15"/>
  <c r="F8" i="15"/>
  <c r="G8" i="15" s="1"/>
  <c r="M7" i="15"/>
  <c r="L7" i="15"/>
  <c r="F7" i="15"/>
  <c r="G7" i="15" s="1"/>
  <c r="N51" i="14"/>
  <c r="N48" i="14"/>
  <c r="N47" i="14"/>
  <c r="N46" i="14"/>
  <c r="I46" i="14"/>
  <c r="I47" i="14" s="1"/>
  <c r="D46" i="14"/>
  <c r="D47" i="14" s="1"/>
  <c r="D34" i="14"/>
  <c r="D33" i="14"/>
  <c r="N32" i="14"/>
  <c r="D32" i="14"/>
  <c r="D35" i="14" s="1"/>
  <c r="N31" i="14"/>
  <c r="I31" i="14"/>
  <c r="I32" i="14" s="1"/>
  <c r="D31" i="14"/>
  <c r="D19" i="14"/>
  <c r="N18" i="14"/>
  <c r="D18" i="14"/>
  <c r="N17" i="14"/>
  <c r="I17" i="14"/>
  <c r="I18" i="14" s="1"/>
  <c r="D17" i="14"/>
  <c r="I5" i="14"/>
  <c r="I4" i="14"/>
  <c r="D4" i="14"/>
  <c r="N3" i="14"/>
  <c r="N4" i="14" s="1"/>
  <c r="I3" i="14"/>
  <c r="D3" i="14"/>
  <c r="I156" i="12"/>
  <c r="H146" i="12"/>
  <c r="B146" i="12"/>
  <c r="I124" i="12"/>
  <c r="I97" i="12"/>
  <c r="I95" i="12"/>
  <c r="I94" i="12"/>
  <c r="I93" i="12"/>
  <c r="I92" i="12"/>
  <c r="I84" i="12"/>
  <c r="I81" i="12"/>
  <c r="I82" i="12" s="1"/>
  <c r="I67" i="12"/>
  <c r="H65" i="12"/>
  <c r="I64" i="12"/>
  <c r="H63" i="12"/>
  <c r="I62" i="12"/>
  <c r="I63" i="12" s="1"/>
  <c r="I69" i="12" s="1"/>
  <c r="I76" i="12" s="1"/>
  <c r="I58" i="12"/>
  <c r="I96" i="12" s="1"/>
  <c r="I45" i="12"/>
  <c r="I43" i="12"/>
  <c r="I35" i="12"/>
  <c r="I34" i="12"/>
  <c r="G34" i="12"/>
  <c r="I33" i="12"/>
  <c r="J102" i="12" s="1"/>
  <c r="I103" i="12" s="1"/>
  <c r="I109" i="12" s="1"/>
  <c r="I32" i="12"/>
  <c r="K31" i="12"/>
  <c r="I156" i="11"/>
  <c r="H146" i="11"/>
  <c r="B146" i="11"/>
  <c r="I124" i="11"/>
  <c r="J102" i="11"/>
  <c r="I103" i="11" s="1"/>
  <c r="I109" i="11" s="1"/>
  <c r="I97" i="11"/>
  <c r="I95" i="11"/>
  <c r="I94" i="11"/>
  <c r="I93" i="11"/>
  <c r="I92" i="11"/>
  <c r="I84" i="11"/>
  <c r="I82" i="11"/>
  <c r="I81" i="11"/>
  <c r="I76" i="11"/>
  <c r="I67" i="11"/>
  <c r="H65" i="11"/>
  <c r="I64" i="11"/>
  <c r="H63" i="11"/>
  <c r="I62" i="11"/>
  <c r="I63" i="11" s="1"/>
  <c r="I69" i="11" s="1"/>
  <c r="I58" i="11"/>
  <c r="I96" i="11" s="1"/>
  <c r="I43" i="11"/>
  <c r="I45" i="11" s="1"/>
  <c r="I35" i="11"/>
  <c r="I34" i="11"/>
  <c r="G34" i="11"/>
  <c r="I33" i="11"/>
  <c r="I32" i="11"/>
  <c r="I38" i="11" s="1"/>
  <c r="K31" i="11"/>
  <c r="I156" i="10"/>
  <c r="H146" i="10"/>
  <c r="B146" i="10"/>
  <c r="I124" i="10"/>
  <c r="I97" i="10"/>
  <c r="I95" i="10"/>
  <c r="I94" i="10"/>
  <c r="I93" i="10"/>
  <c r="I92" i="10"/>
  <c r="I98" i="10" s="1"/>
  <c r="I84" i="10"/>
  <c r="I82" i="10"/>
  <c r="I81" i="10"/>
  <c r="I67" i="10"/>
  <c r="H65" i="10"/>
  <c r="I64" i="10"/>
  <c r="H63" i="10"/>
  <c r="I62" i="10" s="1"/>
  <c r="I63" i="10" s="1"/>
  <c r="I58" i="10"/>
  <c r="I96" i="10" s="1"/>
  <c r="I45" i="10"/>
  <c r="I43" i="10"/>
  <c r="I35" i="10"/>
  <c r="I34" i="10"/>
  <c r="G34" i="10"/>
  <c r="I33" i="10"/>
  <c r="I38" i="10" s="1"/>
  <c r="I32" i="10"/>
  <c r="K31" i="10"/>
  <c r="I156" i="9"/>
  <c r="H146" i="9"/>
  <c r="B146" i="9"/>
  <c r="I124" i="9"/>
  <c r="I97" i="9"/>
  <c r="I95" i="9"/>
  <c r="I94" i="9"/>
  <c r="I93" i="9"/>
  <c r="I92" i="9"/>
  <c r="I98" i="9" s="1"/>
  <c r="I84" i="9"/>
  <c r="I85" i="9" s="1"/>
  <c r="I82" i="9"/>
  <c r="I81" i="9"/>
  <c r="I67" i="9"/>
  <c r="H65" i="9"/>
  <c r="I64" i="9"/>
  <c r="H63" i="9"/>
  <c r="I62" i="9" s="1"/>
  <c r="I63" i="9" s="1"/>
  <c r="I58" i="9"/>
  <c r="I96" i="9" s="1"/>
  <c r="I45" i="9"/>
  <c r="I43" i="9"/>
  <c r="I35" i="9"/>
  <c r="I34" i="9"/>
  <c r="G34" i="9"/>
  <c r="I33" i="9"/>
  <c r="I38" i="9" s="1"/>
  <c r="I32" i="9"/>
  <c r="K31" i="9"/>
  <c r="I156" i="8"/>
  <c r="H146" i="8"/>
  <c r="B146" i="8"/>
  <c r="I124" i="8"/>
  <c r="I97" i="8"/>
  <c r="I95" i="8"/>
  <c r="I94" i="8"/>
  <c r="I93" i="8"/>
  <c r="I92" i="8"/>
  <c r="I98" i="8" s="1"/>
  <c r="I84" i="8"/>
  <c r="I82" i="8"/>
  <c r="I81" i="8"/>
  <c r="I67" i="8"/>
  <c r="H65" i="8"/>
  <c r="I64" i="8"/>
  <c r="H63" i="8"/>
  <c r="I62" i="8" s="1"/>
  <c r="I63" i="8" s="1"/>
  <c r="I58" i="8"/>
  <c r="I96" i="8" s="1"/>
  <c r="I45" i="8"/>
  <c r="I43" i="8"/>
  <c r="I35" i="8"/>
  <c r="I34" i="8"/>
  <c r="G34" i="8"/>
  <c r="I33" i="8"/>
  <c r="I38" i="8" s="1"/>
  <c r="I32" i="8"/>
  <c r="K31" i="8"/>
  <c r="I156" i="7"/>
  <c r="H146" i="7"/>
  <c r="B146" i="7"/>
  <c r="I124" i="7"/>
  <c r="J102" i="7"/>
  <c r="I103" i="7" s="1"/>
  <c r="I109" i="7" s="1"/>
  <c r="I97" i="7"/>
  <c r="J96" i="7"/>
  <c r="I95" i="7"/>
  <c r="I94" i="7"/>
  <c r="I93" i="7"/>
  <c r="I92" i="7"/>
  <c r="I98" i="7" s="1"/>
  <c r="I84" i="7"/>
  <c r="I85" i="7" s="1"/>
  <c r="I81" i="7"/>
  <c r="I82" i="7" s="1"/>
  <c r="J82" i="7" s="1"/>
  <c r="I67" i="7"/>
  <c r="H65" i="7"/>
  <c r="I64" i="7"/>
  <c r="H63" i="7"/>
  <c r="I62" i="7" s="1"/>
  <c r="I63" i="7" s="1"/>
  <c r="I69" i="7" s="1"/>
  <c r="I76" i="7" s="1"/>
  <c r="I58" i="7"/>
  <c r="I96" i="7" s="1"/>
  <c r="J53" i="7"/>
  <c r="I43" i="7"/>
  <c r="I45" i="7" s="1"/>
  <c r="I35" i="7"/>
  <c r="I34" i="7"/>
  <c r="G34" i="7"/>
  <c r="I33" i="7"/>
  <c r="I38" i="7" s="1"/>
  <c r="I32" i="7"/>
  <c r="K31" i="7"/>
  <c r="I156" i="6"/>
  <c r="H146" i="6"/>
  <c r="B146" i="6"/>
  <c r="I124" i="6"/>
  <c r="I97" i="6"/>
  <c r="I95" i="6"/>
  <c r="I94" i="6"/>
  <c r="I93" i="6"/>
  <c r="I92" i="6"/>
  <c r="I84" i="6"/>
  <c r="I82" i="6"/>
  <c r="I81" i="6"/>
  <c r="I67" i="6"/>
  <c r="H65" i="6"/>
  <c r="I64" i="6"/>
  <c r="H63" i="6"/>
  <c r="I62" i="6" s="1"/>
  <c r="I63" i="6" s="1"/>
  <c r="I69" i="6" s="1"/>
  <c r="I76" i="6" s="1"/>
  <c r="I58" i="6"/>
  <c r="I96" i="6" s="1"/>
  <c r="I43" i="6"/>
  <c r="I35" i="6"/>
  <c r="I34" i="6"/>
  <c r="G34" i="6"/>
  <c r="I33" i="6"/>
  <c r="I32" i="6"/>
  <c r="K31" i="6"/>
  <c r="I156" i="5"/>
  <c r="H146" i="5"/>
  <c r="B146" i="5"/>
  <c r="I124" i="5"/>
  <c r="I97" i="5"/>
  <c r="I95" i="5"/>
  <c r="I94" i="5"/>
  <c r="I93" i="5"/>
  <c r="I92" i="5"/>
  <c r="I84" i="5"/>
  <c r="I81" i="5"/>
  <c r="I67" i="5"/>
  <c r="H65" i="5"/>
  <c r="I64" i="5"/>
  <c r="I63" i="5"/>
  <c r="I69" i="5" s="1"/>
  <c r="I76" i="5" s="1"/>
  <c r="H63" i="5"/>
  <c r="I62" i="5"/>
  <c r="I58" i="5"/>
  <c r="I96" i="5" s="1"/>
  <c r="I45" i="5"/>
  <c r="I43" i="5"/>
  <c r="I35" i="5"/>
  <c r="I34" i="5"/>
  <c r="G34" i="5"/>
  <c r="I33" i="5"/>
  <c r="I38" i="5" s="1"/>
  <c r="I32" i="5"/>
  <c r="K31" i="5"/>
  <c r="I156" i="4"/>
  <c r="H146" i="4"/>
  <c r="B146" i="4"/>
  <c r="I124" i="4"/>
  <c r="I103" i="4"/>
  <c r="I109" i="4" s="1"/>
  <c r="J102" i="4"/>
  <c r="I97" i="4"/>
  <c r="I95" i="4"/>
  <c r="I94" i="4"/>
  <c r="I93" i="4"/>
  <c r="I92" i="4"/>
  <c r="I84" i="4"/>
  <c r="I85" i="4" s="1"/>
  <c r="I82" i="4"/>
  <c r="I81" i="4"/>
  <c r="I67" i="4"/>
  <c r="H65" i="4"/>
  <c r="I64" i="4"/>
  <c r="H63" i="4"/>
  <c r="I62" i="4" s="1"/>
  <c r="I63" i="4" s="1"/>
  <c r="I69" i="4" s="1"/>
  <c r="I76" i="4" s="1"/>
  <c r="I58" i="4"/>
  <c r="I96" i="4" s="1"/>
  <c r="I43" i="4"/>
  <c r="I45" i="4" s="1"/>
  <c r="I35" i="4"/>
  <c r="I34" i="4"/>
  <c r="G34" i="4"/>
  <c r="I33" i="4"/>
  <c r="I32" i="4"/>
  <c r="K31" i="4"/>
  <c r="I156" i="3"/>
  <c r="H146" i="3"/>
  <c r="B146" i="3"/>
  <c r="I124" i="3"/>
  <c r="I97" i="3"/>
  <c r="I95" i="3"/>
  <c r="I94" i="3"/>
  <c r="I93" i="3"/>
  <c r="I92" i="3"/>
  <c r="I98" i="3" s="1"/>
  <c r="I84" i="3"/>
  <c r="I81" i="3"/>
  <c r="I67" i="3"/>
  <c r="H65" i="3"/>
  <c r="I64" i="3"/>
  <c r="I63" i="3"/>
  <c r="H63" i="3"/>
  <c r="I62" i="3"/>
  <c r="I58" i="3"/>
  <c r="I96" i="3" s="1"/>
  <c r="I45" i="3"/>
  <c r="I43" i="3"/>
  <c r="I35" i="3"/>
  <c r="I34" i="3"/>
  <c r="G34" i="3"/>
  <c r="I33" i="3"/>
  <c r="I38" i="3" s="1"/>
  <c r="I32" i="3"/>
  <c r="J102" i="3" s="1"/>
  <c r="I103" i="3" s="1"/>
  <c r="I109" i="3" s="1"/>
  <c r="K31" i="3"/>
  <c r="I156" i="2"/>
  <c r="H146" i="2"/>
  <c r="B146" i="2"/>
  <c r="I124" i="2"/>
  <c r="I103" i="2"/>
  <c r="I109" i="2" s="1"/>
  <c r="J102" i="2"/>
  <c r="I97" i="2"/>
  <c r="I95" i="2"/>
  <c r="I94" i="2"/>
  <c r="I93" i="2"/>
  <c r="I92" i="2"/>
  <c r="I84" i="2"/>
  <c r="I85" i="2" s="1"/>
  <c r="I82" i="2"/>
  <c r="I81" i="2"/>
  <c r="I67" i="2"/>
  <c r="H65" i="2"/>
  <c r="I64" i="2" s="1"/>
  <c r="H63" i="2"/>
  <c r="I62" i="2" s="1"/>
  <c r="I63" i="2" s="1"/>
  <c r="I58" i="2"/>
  <c r="I96" i="2" s="1"/>
  <c r="I43" i="2"/>
  <c r="I45" i="2" s="1"/>
  <c r="I35" i="2"/>
  <c r="I34" i="2"/>
  <c r="G34" i="2"/>
  <c r="I33" i="2"/>
  <c r="I32" i="2"/>
  <c r="I38" i="2" s="1"/>
  <c r="I134" i="2" s="1"/>
  <c r="K31" i="2"/>
  <c r="F13" i="1"/>
  <c r="D13" i="1"/>
  <c r="C13" i="1"/>
  <c r="F12" i="1"/>
  <c r="D12" i="1"/>
  <c r="C12" i="1"/>
  <c r="F11" i="1"/>
  <c r="D11" i="1"/>
  <c r="C11" i="1"/>
  <c r="F10" i="1"/>
  <c r="D10" i="1"/>
  <c r="C10" i="1"/>
  <c r="F9" i="1"/>
  <c r="D9" i="1"/>
  <c r="C9" i="1"/>
  <c r="F8" i="1"/>
  <c r="D8" i="1"/>
  <c r="C8" i="1"/>
  <c r="F7" i="1"/>
  <c r="D7" i="1"/>
  <c r="C7" i="1"/>
  <c r="F6" i="1"/>
  <c r="D6" i="1"/>
  <c r="C6" i="1"/>
  <c r="F5" i="1"/>
  <c r="D5" i="1"/>
  <c r="C5" i="1"/>
  <c r="F4" i="1"/>
  <c r="D4" i="1"/>
  <c r="C4" i="1"/>
  <c r="F3" i="1"/>
  <c r="D3" i="1"/>
  <c r="C3" i="1"/>
  <c r="J96" i="3" l="1"/>
  <c r="J54" i="3"/>
  <c r="J50" i="3"/>
  <c r="J44" i="3"/>
  <c r="I134" i="3"/>
  <c r="J97" i="3"/>
  <c r="J95" i="3"/>
  <c r="J93" i="3"/>
  <c r="J84" i="3"/>
  <c r="J57" i="3"/>
  <c r="J53" i="3"/>
  <c r="J43" i="3"/>
  <c r="J86" i="3"/>
  <c r="J56" i="3"/>
  <c r="J52" i="3"/>
  <c r="J83" i="3"/>
  <c r="J55" i="3"/>
  <c r="J92" i="3"/>
  <c r="J98" i="3" s="1"/>
  <c r="I108" i="3" s="1"/>
  <c r="I110" i="3" s="1"/>
  <c r="I137" i="3" s="1"/>
  <c r="J51" i="3"/>
  <c r="J94" i="3"/>
  <c r="J54" i="5"/>
  <c r="J50" i="5"/>
  <c r="J44" i="5"/>
  <c r="J97" i="5"/>
  <c r="J95" i="5"/>
  <c r="J93" i="5"/>
  <c r="J57" i="5"/>
  <c r="J53" i="5"/>
  <c r="I134" i="5"/>
  <c r="J86" i="5"/>
  <c r="J56" i="5"/>
  <c r="J52" i="5"/>
  <c r="J92" i="5"/>
  <c r="J83" i="5"/>
  <c r="J51" i="5"/>
  <c r="J94" i="5"/>
  <c r="J96" i="5"/>
  <c r="J55" i="5"/>
  <c r="J54" i="8"/>
  <c r="J50" i="8"/>
  <c r="J44" i="8"/>
  <c r="J86" i="8"/>
  <c r="J56" i="8"/>
  <c r="J52" i="8"/>
  <c r="J95" i="8"/>
  <c r="J93" i="8"/>
  <c r="J83" i="8"/>
  <c r="J55" i="8"/>
  <c r="J97" i="8"/>
  <c r="J53" i="8"/>
  <c r="J43" i="8"/>
  <c r="J94" i="8"/>
  <c r="J92" i="8"/>
  <c r="J84" i="8"/>
  <c r="J51" i="8"/>
  <c r="I134" i="8"/>
  <c r="J96" i="8"/>
  <c r="J57" i="8"/>
  <c r="J82" i="2"/>
  <c r="I82" i="3"/>
  <c r="J82" i="3" s="1"/>
  <c r="J81" i="3"/>
  <c r="I45" i="6"/>
  <c r="I85" i="6"/>
  <c r="J57" i="2"/>
  <c r="J85" i="2"/>
  <c r="J94" i="4"/>
  <c r="J95" i="7"/>
  <c r="J93" i="7"/>
  <c r="J56" i="7"/>
  <c r="J52" i="7"/>
  <c r="J97" i="7"/>
  <c r="J86" i="7"/>
  <c r="J83" i="7"/>
  <c r="J55" i="7"/>
  <c r="J51" i="7"/>
  <c r="J94" i="7"/>
  <c r="J92" i="7"/>
  <c r="J98" i="7" s="1"/>
  <c r="I108" i="7" s="1"/>
  <c r="I110" i="7" s="1"/>
  <c r="I137" i="7" s="1"/>
  <c r="J54" i="7"/>
  <c r="J50" i="7"/>
  <c r="J44" i="7"/>
  <c r="J45" i="7"/>
  <c r="J57" i="7"/>
  <c r="J81" i="7"/>
  <c r="I134" i="7"/>
  <c r="J85" i="9"/>
  <c r="J54" i="10"/>
  <c r="J50" i="10"/>
  <c r="J44" i="10"/>
  <c r="I134" i="10"/>
  <c r="J86" i="10"/>
  <c r="J56" i="10"/>
  <c r="J52" i="10"/>
  <c r="J95" i="10"/>
  <c r="J93" i="10"/>
  <c r="J83" i="10"/>
  <c r="J55" i="10"/>
  <c r="J97" i="10"/>
  <c r="J53" i="10"/>
  <c r="J43" i="10"/>
  <c r="J57" i="10"/>
  <c r="J94" i="10"/>
  <c r="J92" i="10"/>
  <c r="J84" i="10"/>
  <c r="J51" i="10"/>
  <c r="J96" i="10"/>
  <c r="J43" i="2"/>
  <c r="J96" i="2"/>
  <c r="J84" i="2"/>
  <c r="J93" i="2"/>
  <c r="J45" i="4"/>
  <c r="J45" i="5"/>
  <c r="I82" i="5"/>
  <c r="J82" i="5" s="1"/>
  <c r="J81" i="5"/>
  <c r="I98" i="5"/>
  <c r="J43" i="7"/>
  <c r="I46" i="7" s="1"/>
  <c r="I74" i="7" s="1"/>
  <c r="J85" i="7"/>
  <c r="J86" i="2"/>
  <c r="J81" i="2"/>
  <c r="J56" i="2"/>
  <c r="J52" i="2"/>
  <c r="J83" i="2"/>
  <c r="J55" i="2"/>
  <c r="J51" i="2"/>
  <c r="J54" i="2"/>
  <c r="J50" i="2"/>
  <c r="J44" i="2"/>
  <c r="J53" i="2"/>
  <c r="J92" i="2"/>
  <c r="J45" i="3"/>
  <c r="J84" i="5"/>
  <c r="J45" i="2"/>
  <c r="J95" i="2"/>
  <c r="I38" i="4"/>
  <c r="J92" i="4" s="1"/>
  <c r="J43" i="5"/>
  <c r="I69" i="2"/>
  <c r="I76" i="2" s="1"/>
  <c r="J94" i="2"/>
  <c r="J97" i="2"/>
  <c r="I69" i="3"/>
  <c r="I76" i="3" s="1"/>
  <c r="J96" i="4"/>
  <c r="J85" i="4"/>
  <c r="J102" i="5"/>
  <c r="I103" i="5" s="1"/>
  <c r="I109" i="5" s="1"/>
  <c r="J102" i="6"/>
  <c r="I103" i="6" s="1"/>
  <c r="I109" i="6" s="1"/>
  <c r="I38" i="6"/>
  <c r="J96" i="6" s="1"/>
  <c r="I98" i="6"/>
  <c r="J84" i="7"/>
  <c r="J86" i="9"/>
  <c r="J56" i="9"/>
  <c r="J52" i="9"/>
  <c r="J54" i="9"/>
  <c r="J50" i="9"/>
  <c r="J58" i="9" s="1"/>
  <c r="I75" i="9" s="1"/>
  <c r="J44" i="9"/>
  <c r="J95" i="9"/>
  <c r="J93" i="9"/>
  <c r="J83" i="9"/>
  <c r="J55" i="9"/>
  <c r="J97" i="9"/>
  <c r="J53" i="9"/>
  <c r="J43" i="9"/>
  <c r="J96" i="9"/>
  <c r="J94" i="9"/>
  <c r="J92" i="9"/>
  <c r="J84" i="9"/>
  <c r="J51" i="9"/>
  <c r="I134" i="9"/>
  <c r="J57" i="9"/>
  <c r="J83" i="11"/>
  <c r="J55" i="11"/>
  <c r="J51" i="11"/>
  <c r="J54" i="11"/>
  <c r="J50" i="11"/>
  <c r="J58" i="11" s="1"/>
  <c r="I75" i="11" s="1"/>
  <c r="J44" i="11"/>
  <c r="I134" i="11"/>
  <c r="J52" i="11"/>
  <c r="J56" i="11"/>
  <c r="J53" i="11"/>
  <c r="I85" i="11"/>
  <c r="J85" i="11" s="1"/>
  <c r="J84" i="11"/>
  <c r="J93" i="11"/>
  <c r="I98" i="2"/>
  <c r="I98" i="4"/>
  <c r="J81" i="8"/>
  <c r="J81" i="9"/>
  <c r="J81" i="10"/>
  <c r="J45" i="11"/>
  <c r="J57" i="11"/>
  <c r="J86" i="11"/>
  <c r="D13" i="13"/>
  <c r="I114" i="12" s="1"/>
  <c r="J82" i="8"/>
  <c r="J82" i="9"/>
  <c r="J82" i="10"/>
  <c r="J43" i="11"/>
  <c r="I46" i="11" s="1"/>
  <c r="I74" i="11" s="1"/>
  <c r="J81" i="11"/>
  <c r="J92" i="11"/>
  <c r="J95" i="11"/>
  <c r="I38" i="12"/>
  <c r="J95" i="12" s="1"/>
  <c r="I85" i="3"/>
  <c r="J85" i="3" s="1"/>
  <c r="I85" i="5"/>
  <c r="J85" i="5" s="1"/>
  <c r="J102" i="8"/>
  <c r="I103" i="8" s="1"/>
  <c r="I109" i="8" s="1"/>
  <c r="J45" i="8"/>
  <c r="I69" i="8"/>
  <c r="I76" i="8" s="1"/>
  <c r="J102" i="9"/>
  <c r="I103" i="9" s="1"/>
  <c r="I109" i="9" s="1"/>
  <c r="J45" i="9"/>
  <c r="I69" i="9"/>
  <c r="I76" i="9" s="1"/>
  <c r="J102" i="10"/>
  <c r="I103" i="10" s="1"/>
  <c r="I109" i="10" s="1"/>
  <c r="J45" i="10"/>
  <c r="I69" i="10"/>
  <c r="I76" i="10" s="1"/>
  <c r="J97" i="11"/>
  <c r="I85" i="12"/>
  <c r="J84" i="12"/>
  <c r="E5" i="13"/>
  <c r="I115" i="4" s="1"/>
  <c r="E3" i="13"/>
  <c r="I115" i="2" s="1"/>
  <c r="J82" i="11"/>
  <c r="J94" i="11"/>
  <c r="J43" i="12"/>
  <c r="M11" i="15"/>
  <c r="M12" i="15" s="1"/>
  <c r="F38" i="16"/>
  <c r="F39" i="16" s="1"/>
  <c r="E67" i="16"/>
  <c r="F56" i="16"/>
  <c r="F7" i="17"/>
  <c r="G7" i="17" s="1"/>
  <c r="E8" i="17"/>
  <c r="F8" i="17" s="1"/>
  <c r="G8" i="17" s="1"/>
  <c r="F58" i="17"/>
  <c r="F59" i="17" s="1"/>
  <c r="F60" i="17" s="1"/>
  <c r="N6" i="14"/>
  <c r="N5" i="14"/>
  <c r="N7" i="14" s="1"/>
  <c r="N19" i="14"/>
  <c r="N21" i="14" s="1"/>
  <c r="N20" i="14"/>
  <c r="D50" i="14"/>
  <c r="E34" i="16"/>
  <c r="F34" i="16" s="1"/>
  <c r="F16" i="16"/>
  <c r="F38" i="17"/>
  <c r="F39" i="17" s="1"/>
  <c r="F40" i="17" s="1"/>
  <c r="G5" i="17"/>
  <c r="F3" i="13"/>
  <c r="I116" i="2" s="1"/>
  <c r="I85" i="8"/>
  <c r="J85" i="8" s="1"/>
  <c r="I85" i="10"/>
  <c r="J85" i="10" s="1"/>
  <c r="J96" i="11"/>
  <c r="I98" i="12"/>
  <c r="I48" i="14"/>
  <c r="I49" i="14"/>
  <c r="I50" i="14"/>
  <c r="F10" i="16"/>
  <c r="F11" i="16" s="1"/>
  <c r="E55" i="16"/>
  <c r="F45" i="16"/>
  <c r="F47" i="16" s="1"/>
  <c r="F48" i="16" s="1"/>
  <c r="N33" i="14"/>
  <c r="N34" i="14" s="1"/>
  <c r="I98" i="11"/>
  <c r="I7" i="14"/>
  <c r="I6" i="14"/>
  <c r="I19" i="14"/>
  <c r="I20" i="14" s="1"/>
  <c r="I21" i="14"/>
  <c r="I33" i="14"/>
  <c r="G11" i="15"/>
  <c r="G12" i="15" s="1"/>
  <c r="E54" i="16"/>
  <c r="D5" i="14"/>
  <c r="D6" i="14" s="1"/>
  <c r="D21" i="14"/>
  <c r="D20" i="14"/>
  <c r="D51" i="14"/>
  <c r="D48" i="14"/>
  <c r="D49" i="14" s="1"/>
  <c r="N49" i="14"/>
  <c r="N52" i="14" s="1"/>
  <c r="N50" i="14"/>
  <c r="F76" i="16"/>
  <c r="F77" i="16" s="1"/>
  <c r="D7" i="13" s="1"/>
  <c r="I114" i="6" s="1"/>
  <c r="F50" i="18"/>
  <c r="F51" i="18" s="1"/>
  <c r="F52" i="18" s="1"/>
  <c r="E10" i="13" s="1"/>
  <c r="I115" i="9" s="1"/>
  <c r="F66" i="18"/>
  <c r="F67" i="18" s="1"/>
  <c r="F68" i="18" s="1"/>
  <c r="D36" i="14"/>
  <c r="D37" i="14" s="1"/>
  <c r="E17" i="16"/>
  <c r="G56" i="17"/>
  <c r="G58" i="17" s="1"/>
  <c r="G59" i="17" s="1"/>
  <c r="G60" i="17" s="1"/>
  <c r="F5" i="13" s="1"/>
  <c r="I116" i="4" s="1"/>
  <c r="N35" i="14" l="1"/>
  <c r="N53" i="14"/>
  <c r="N54" i="14"/>
  <c r="N55" i="14"/>
  <c r="N22" i="14"/>
  <c r="N23" i="14" s="1"/>
  <c r="I34" i="14"/>
  <c r="I35" i="14" s="1"/>
  <c r="I8" i="14"/>
  <c r="I9" i="14" s="1"/>
  <c r="I87" i="10"/>
  <c r="I136" i="10" s="1"/>
  <c r="I46" i="9"/>
  <c r="I74" i="9" s="1"/>
  <c r="I77" i="9" s="1"/>
  <c r="I135" i="9" s="1"/>
  <c r="J45" i="6"/>
  <c r="J58" i="5"/>
  <c r="I75" i="5" s="1"/>
  <c r="D22" i="14"/>
  <c r="D23" i="14" s="1"/>
  <c r="D3" i="13"/>
  <c r="I114" i="2" s="1"/>
  <c r="I118" i="2" s="1"/>
  <c r="I138" i="2" s="1"/>
  <c r="F23" i="16"/>
  <c r="F24" i="16" s="1"/>
  <c r="D5" i="13" s="1"/>
  <c r="I114" i="4" s="1"/>
  <c r="I118" i="4" s="1"/>
  <c r="I138" i="4" s="1"/>
  <c r="N8" i="14"/>
  <c r="N9" i="14" s="1"/>
  <c r="D9" i="13"/>
  <c r="I114" i="8" s="1"/>
  <c r="D4" i="13"/>
  <c r="I114" i="3" s="1"/>
  <c r="D8" i="13"/>
  <c r="I114" i="7" s="1"/>
  <c r="J93" i="12"/>
  <c r="J85" i="12"/>
  <c r="J98" i="11"/>
  <c r="I108" i="11" s="1"/>
  <c r="I110" i="11" s="1"/>
  <c r="I137" i="11" s="1"/>
  <c r="I87" i="9"/>
  <c r="I136" i="9" s="1"/>
  <c r="J98" i="9"/>
  <c r="I108" i="9" s="1"/>
  <c r="I110" i="9" s="1"/>
  <c r="I137" i="9" s="1"/>
  <c r="I46" i="5"/>
  <c r="I74" i="5" s="1"/>
  <c r="I77" i="5" s="1"/>
  <c r="I135" i="5" s="1"/>
  <c r="I87" i="2"/>
  <c r="I136" i="2" s="1"/>
  <c r="I87" i="3"/>
  <c r="I136" i="3" s="1"/>
  <c r="J98" i="8"/>
  <c r="I108" i="8" s="1"/>
  <c r="I110" i="8" s="1"/>
  <c r="I137" i="8" s="1"/>
  <c r="J98" i="5"/>
  <c r="I108" i="5" s="1"/>
  <c r="I110" i="5" s="1"/>
  <c r="I137" i="5" s="1"/>
  <c r="D7" i="14"/>
  <c r="D8" i="14" s="1"/>
  <c r="D9" i="14" s="1"/>
  <c r="F55" i="16"/>
  <c r="E65" i="16"/>
  <c r="F65" i="16" s="1"/>
  <c r="F68" i="16" s="1"/>
  <c r="F69" i="16" s="1"/>
  <c r="D11" i="13" s="1"/>
  <c r="I114" i="10" s="1"/>
  <c r="I118" i="10" s="1"/>
  <c r="I138" i="10" s="1"/>
  <c r="E4" i="13"/>
  <c r="I115" i="3" s="1"/>
  <c r="E8" i="13"/>
  <c r="I115" i="7" s="1"/>
  <c r="E9" i="13"/>
  <c r="I115" i="8" s="1"/>
  <c r="F54" i="16"/>
  <c r="E84" i="16"/>
  <c r="F84" i="16" s="1"/>
  <c r="I22" i="14"/>
  <c r="I118" i="12"/>
  <c r="I138" i="12" s="1"/>
  <c r="J97" i="6"/>
  <c r="J95" i="6"/>
  <c r="J93" i="6"/>
  <c r="J84" i="6"/>
  <c r="J57" i="6"/>
  <c r="J53" i="6"/>
  <c r="J43" i="6"/>
  <c r="I134" i="6"/>
  <c r="J86" i="6"/>
  <c r="J81" i="6"/>
  <c r="J56" i="6"/>
  <c r="J52" i="6"/>
  <c r="J83" i="6"/>
  <c r="J55" i="6"/>
  <c r="J51" i="6"/>
  <c r="J54" i="6"/>
  <c r="J44" i="6"/>
  <c r="J82" i="6"/>
  <c r="J50" i="6"/>
  <c r="F12" i="13"/>
  <c r="I116" i="11" s="1"/>
  <c r="F7" i="13"/>
  <c r="I116" i="6" s="1"/>
  <c r="I118" i="6" s="1"/>
  <c r="I138" i="6" s="1"/>
  <c r="F11" i="13"/>
  <c r="I116" i="10" s="1"/>
  <c r="F13" i="13"/>
  <c r="I116" i="12" s="1"/>
  <c r="F6" i="13"/>
  <c r="I116" i="5" s="1"/>
  <c r="F10" i="13"/>
  <c r="I116" i="9" s="1"/>
  <c r="F17" i="16"/>
  <c r="E53" i="16"/>
  <c r="F53" i="16" s="1"/>
  <c r="D52" i="14"/>
  <c r="I23" i="14"/>
  <c r="I51" i="14"/>
  <c r="I52" i="14" s="1"/>
  <c r="G38" i="17"/>
  <c r="G39" i="17" s="1"/>
  <c r="G40" i="17" s="1"/>
  <c r="J97" i="12"/>
  <c r="J82" i="12"/>
  <c r="J96" i="12"/>
  <c r="I87" i="11"/>
  <c r="I136" i="11" s="1"/>
  <c r="I87" i="8"/>
  <c r="I136" i="8" s="1"/>
  <c r="J86" i="4"/>
  <c r="J81" i="4"/>
  <c r="I87" i="4" s="1"/>
  <c r="I136" i="4" s="1"/>
  <c r="J56" i="4"/>
  <c r="J52" i="4"/>
  <c r="J83" i="4"/>
  <c r="J55" i="4"/>
  <c r="J51" i="4"/>
  <c r="J54" i="4"/>
  <c r="J50" i="4"/>
  <c r="J44" i="4"/>
  <c r="J84" i="4"/>
  <c r="J95" i="4"/>
  <c r="J43" i="4"/>
  <c r="J97" i="4"/>
  <c r="J93" i="4"/>
  <c r="J98" i="4" s="1"/>
  <c r="I108" i="4" s="1"/>
  <c r="I110" i="4" s="1"/>
  <c r="I137" i="4" s="1"/>
  <c r="J57" i="4"/>
  <c r="J53" i="4"/>
  <c r="I134" i="4"/>
  <c r="J58" i="2"/>
  <c r="I75" i="2" s="1"/>
  <c r="I87" i="5"/>
  <c r="I136" i="5" s="1"/>
  <c r="J82" i="4"/>
  <c r="I46" i="10"/>
  <c r="I74" i="10" s="1"/>
  <c r="I77" i="10" s="1"/>
  <c r="I135" i="10" s="1"/>
  <c r="J58" i="10"/>
  <c r="I75" i="10" s="1"/>
  <c r="I87" i="7"/>
  <c r="I136" i="7" s="1"/>
  <c r="J58" i="7"/>
  <c r="I75" i="7" s="1"/>
  <c r="I77" i="7" s="1"/>
  <c r="I135" i="7" s="1"/>
  <c r="J58" i="8"/>
  <c r="I75" i="8" s="1"/>
  <c r="I46" i="3"/>
  <c r="I74" i="3" s="1"/>
  <c r="D39" i="14"/>
  <c r="D40" i="14"/>
  <c r="D38" i="14"/>
  <c r="E83" i="16"/>
  <c r="F83" i="16" s="1"/>
  <c r="F88" i="16" s="1"/>
  <c r="F89" i="16" s="1"/>
  <c r="D12" i="13" s="1"/>
  <c r="I114" i="11" s="1"/>
  <c r="I118" i="11" s="1"/>
  <c r="I138" i="11" s="1"/>
  <c r="F67" i="16"/>
  <c r="I46" i="12"/>
  <c r="I74" i="12" s="1"/>
  <c r="J54" i="12"/>
  <c r="J50" i="12"/>
  <c r="J44" i="12"/>
  <c r="J57" i="12"/>
  <c r="J53" i="12"/>
  <c r="J94" i="12"/>
  <c r="J83" i="12"/>
  <c r="J56" i="12"/>
  <c r="J86" i="12"/>
  <c r="J81" i="12"/>
  <c r="I134" i="12"/>
  <c r="J52" i="12"/>
  <c r="J55" i="12"/>
  <c r="J92" i="12"/>
  <c r="J51" i="12"/>
  <c r="I77" i="11"/>
  <c r="I135" i="11" s="1"/>
  <c r="J45" i="12"/>
  <c r="J94" i="6"/>
  <c r="J98" i="2"/>
  <c r="I108" i="2" s="1"/>
  <c r="I110" i="2" s="1"/>
  <c r="I137" i="2" s="1"/>
  <c r="I46" i="2"/>
  <c r="I74" i="2" s="1"/>
  <c r="I77" i="2" s="1"/>
  <c r="I135" i="2" s="1"/>
  <c r="I139" i="2" s="1"/>
  <c r="J98" i="10"/>
  <c r="I108" i="10" s="1"/>
  <c r="I110" i="10" s="1"/>
  <c r="I137" i="10" s="1"/>
  <c r="J92" i="6"/>
  <c r="J98" i="6" s="1"/>
  <c r="I108" i="6" s="1"/>
  <c r="I110" i="6" s="1"/>
  <c r="I137" i="6" s="1"/>
  <c r="J85" i="6"/>
  <c r="I46" i="8"/>
  <c r="I74" i="8" s="1"/>
  <c r="I77" i="8" s="1"/>
  <c r="I135" i="8" s="1"/>
  <c r="J58" i="3"/>
  <c r="I75" i="3" s="1"/>
  <c r="D10" i="14" l="1"/>
  <c r="D12" i="14"/>
  <c r="D11" i="14"/>
  <c r="I139" i="10"/>
  <c r="I53" i="14"/>
  <c r="I55" i="14"/>
  <c r="I54" i="14"/>
  <c r="I11" i="14"/>
  <c r="I10" i="14"/>
  <c r="I12" i="14"/>
  <c r="I139" i="11"/>
  <c r="I139" i="9"/>
  <c r="N12" i="14"/>
  <c r="N11" i="14"/>
  <c r="N10" i="14"/>
  <c r="N26" i="14"/>
  <c r="N25" i="14"/>
  <c r="N24" i="14"/>
  <c r="I46" i="4"/>
  <c r="I74" i="4" s="1"/>
  <c r="I77" i="4" s="1"/>
  <c r="I135" i="4" s="1"/>
  <c r="I139" i="4" s="1"/>
  <c r="J58" i="4"/>
  <c r="I75" i="4" s="1"/>
  <c r="F8" i="13"/>
  <c r="I116" i="7" s="1"/>
  <c r="I118" i="7" s="1"/>
  <c r="I138" i="7" s="1"/>
  <c r="I139" i="7" s="1"/>
  <c r="F9" i="13"/>
  <c r="I116" i="8" s="1"/>
  <c r="F4" i="13"/>
  <c r="I116" i="3" s="1"/>
  <c r="F57" i="16"/>
  <c r="F58" i="16" s="1"/>
  <c r="D10" i="13" s="1"/>
  <c r="I114" i="9" s="1"/>
  <c r="I118" i="9" s="1"/>
  <c r="I138" i="9" s="1"/>
  <c r="J58" i="6"/>
  <c r="I75" i="6" s="1"/>
  <c r="I46" i="6"/>
  <c r="I74" i="6" s="1"/>
  <c r="I118" i="8"/>
  <c r="I138" i="8" s="1"/>
  <c r="I139" i="8" s="1"/>
  <c r="D24" i="14"/>
  <c r="D27" i="14" s="1"/>
  <c r="D25" i="14"/>
  <c r="D26" i="14"/>
  <c r="N56" i="14"/>
  <c r="I77" i="12"/>
  <c r="I135" i="12" s="1"/>
  <c r="I139" i="12" s="1"/>
  <c r="D55" i="14"/>
  <c r="D53" i="14"/>
  <c r="D56" i="14" s="1"/>
  <c r="D54" i="14"/>
  <c r="I118" i="3"/>
  <c r="I138" i="3" s="1"/>
  <c r="J98" i="12"/>
  <c r="I108" i="12" s="1"/>
  <c r="I110" i="12" s="1"/>
  <c r="I137" i="12" s="1"/>
  <c r="I87" i="12"/>
  <c r="I136" i="12" s="1"/>
  <c r="J58" i="12"/>
  <c r="I75" i="12" s="1"/>
  <c r="I77" i="3"/>
  <c r="I135" i="3" s="1"/>
  <c r="I139" i="3" s="1"/>
  <c r="I87" i="6"/>
  <c r="I136" i="6" s="1"/>
  <c r="D6" i="13"/>
  <c r="I114" i="5" s="1"/>
  <c r="I118" i="5" s="1"/>
  <c r="I138" i="5" s="1"/>
  <c r="I139" i="5" s="1"/>
  <c r="I36" i="14"/>
  <c r="I37" i="14" s="1"/>
  <c r="N36" i="14"/>
  <c r="N37" i="14" s="1"/>
  <c r="J122" i="2"/>
  <c r="D41" i="14"/>
  <c r="I25" i="14"/>
  <c r="I26" i="14"/>
  <c r="I24" i="14"/>
  <c r="J122" i="12" l="1"/>
  <c r="J122" i="8"/>
  <c r="J122" i="4"/>
  <c r="N38" i="14"/>
  <c r="N40" i="14"/>
  <c r="N39" i="14"/>
  <c r="I40" i="14"/>
  <c r="I39" i="14"/>
  <c r="I38" i="14"/>
  <c r="J122" i="5"/>
  <c r="J122" i="7"/>
  <c r="J122" i="3"/>
  <c r="J122" i="11"/>
  <c r="J122" i="10"/>
  <c r="I27" i="14"/>
  <c r="J122" i="9"/>
  <c r="N27" i="14"/>
  <c r="J123" i="2"/>
  <c r="I77" i="6"/>
  <c r="I135" i="6" s="1"/>
  <c r="I139" i="6" s="1"/>
  <c r="N13" i="14"/>
  <c r="I13" i="14"/>
  <c r="I56" i="14"/>
  <c r="D13" i="14"/>
  <c r="J123" i="5" l="1"/>
  <c r="I41" i="14"/>
  <c r="J123" i="8"/>
  <c r="J123" i="10"/>
  <c r="J123" i="11"/>
  <c r="J123" i="3"/>
  <c r="J126" i="5"/>
  <c r="N41" i="14"/>
  <c r="J126" i="8"/>
  <c r="J127" i="8"/>
  <c r="J125" i="2"/>
  <c r="J126" i="2"/>
  <c r="J129" i="2" s="1"/>
  <c r="I140" i="2" s="1"/>
  <c r="I141" i="2" s="1"/>
  <c r="D146" i="2" s="1"/>
  <c r="F146" i="2" s="1"/>
  <c r="J128" i="2"/>
  <c r="J127" i="2"/>
  <c r="J123" i="7"/>
  <c r="J125" i="5"/>
  <c r="J123" i="4"/>
  <c r="J125" i="4" s="1"/>
  <c r="D59" i="14"/>
  <c r="H14" i="1" s="1"/>
  <c r="G14" i="1" s="1"/>
  <c r="I14" i="1" s="1"/>
  <c r="J122" i="6"/>
  <c r="J123" i="9"/>
  <c r="J128" i="9" s="1"/>
  <c r="J128" i="10"/>
  <c r="J128" i="11"/>
  <c r="J125" i="3"/>
  <c r="J127" i="3"/>
  <c r="J128" i="7"/>
  <c r="J128" i="5"/>
  <c r="J125" i="8"/>
  <c r="J123" i="12"/>
  <c r="E3" i="1" l="1"/>
  <c r="G3" i="1" s="1"/>
  <c r="I146" i="2"/>
  <c r="I147" i="2" s="1"/>
  <c r="I149" i="2" s="1"/>
  <c r="I155" i="2" s="1"/>
  <c r="I157" i="2" s="1"/>
  <c r="J129" i="5"/>
  <c r="I140" i="5" s="1"/>
  <c r="I141" i="5" s="1"/>
  <c r="D146" i="5" s="1"/>
  <c r="F146" i="5" s="1"/>
  <c r="J127" i="12"/>
  <c r="J126" i="12"/>
  <c r="J125" i="12"/>
  <c r="J123" i="6"/>
  <c r="J127" i="7"/>
  <c r="J125" i="7"/>
  <c r="J129" i="7" s="1"/>
  <c r="I140" i="7" s="1"/>
  <c r="I141" i="7" s="1"/>
  <c r="D146" i="7" s="1"/>
  <c r="F146" i="7" s="1"/>
  <c r="J126" i="10"/>
  <c r="J129" i="10" s="1"/>
  <c r="I140" i="10" s="1"/>
  <c r="I141" i="10" s="1"/>
  <c r="D146" i="10" s="1"/>
  <c r="F146" i="10" s="1"/>
  <c r="J127" i="10"/>
  <c r="J125" i="10"/>
  <c r="J126" i="6"/>
  <c r="J128" i="4"/>
  <c r="J128" i="3"/>
  <c r="J126" i="3"/>
  <c r="J126" i="7"/>
  <c r="J127" i="4"/>
  <c r="J129" i="4" s="1"/>
  <c r="I140" i="4" s="1"/>
  <c r="I141" i="4" s="1"/>
  <c r="D146" i="4" s="1"/>
  <c r="F146" i="4" s="1"/>
  <c r="J128" i="12"/>
  <c r="J126" i="4"/>
  <c r="J125" i="9"/>
  <c r="J129" i="9" s="1"/>
  <c r="I140" i="9" s="1"/>
  <c r="I141" i="9" s="1"/>
  <c r="D146" i="9" s="1"/>
  <c r="F146" i="9" s="1"/>
  <c r="J125" i="6"/>
  <c r="J127" i="5"/>
  <c r="J128" i="8"/>
  <c r="J129" i="8" s="1"/>
  <c r="I140" i="8" s="1"/>
  <c r="I141" i="8" s="1"/>
  <c r="D146" i="8" s="1"/>
  <c r="F146" i="8" s="1"/>
  <c r="J126" i="11"/>
  <c r="J125" i="11"/>
  <c r="J127" i="11"/>
  <c r="J127" i="9"/>
  <c r="J126" i="9"/>
  <c r="I146" i="7" l="1"/>
  <c r="I147" i="7" s="1"/>
  <c r="I149" i="7" s="1"/>
  <c r="I155" i="7" s="1"/>
  <c r="I157" i="7" s="1"/>
  <c r="E8" i="1"/>
  <c r="G8" i="1" s="1"/>
  <c r="I146" i="8"/>
  <c r="I147" i="8" s="1"/>
  <c r="I149" i="8" s="1"/>
  <c r="I155" i="8" s="1"/>
  <c r="I157" i="8" s="1"/>
  <c r="E9" i="1"/>
  <c r="G9" i="1" s="1"/>
  <c r="I146" i="9"/>
  <c r="I147" i="9" s="1"/>
  <c r="I149" i="9" s="1"/>
  <c r="I155" i="9" s="1"/>
  <c r="I157" i="9" s="1"/>
  <c r="E10" i="1"/>
  <c r="G10" i="1" s="1"/>
  <c r="E5" i="1"/>
  <c r="G5" i="1" s="1"/>
  <c r="I146" i="4"/>
  <c r="I147" i="4" s="1"/>
  <c r="I149" i="4" s="1"/>
  <c r="I155" i="4" s="1"/>
  <c r="I157" i="4" s="1"/>
  <c r="I146" i="10"/>
  <c r="I147" i="10" s="1"/>
  <c r="I149" i="10" s="1"/>
  <c r="I155" i="10" s="1"/>
  <c r="I157" i="10" s="1"/>
  <c r="E11" i="1"/>
  <c r="G11" i="1" s="1"/>
  <c r="I146" i="5"/>
  <c r="I147" i="5" s="1"/>
  <c r="I149" i="5" s="1"/>
  <c r="I155" i="5" s="1"/>
  <c r="I157" i="5" s="1"/>
  <c r="E6" i="1"/>
  <c r="G6" i="1" s="1"/>
  <c r="J128" i="6"/>
  <c r="J129" i="12"/>
  <c r="I140" i="12" s="1"/>
  <c r="I141" i="12" s="1"/>
  <c r="D146" i="12" s="1"/>
  <c r="F146" i="12" s="1"/>
  <c r="J129" i="11"/>
  <c r="I140" i="11" s="1"/>
  <c r="I141" i="11" s="1"/>
  <c r="D146" i="11" s="1"/>
  <c r="F146" i="11" s="1"/>
  <c r="J127" i="6"/>
  <c r="J129" i="6" s="1"/>
  <c r="I140" i="6" s="1"/>
  <c r="I141" i="6" s="1"/>
  <c r="D146" i="6" s="1"/>
  <c r="F146" i="6" s="1"/>
  <c r="J129" i="3"/>
  <c r="I140" i="3" s="1"/>
  <c r="I141" i="3" s="1"/>
  <c r="D146" i="3" s="1"/>
  <c r="F146" i="3" s="1"/>
  <c r="H3" i="1"/>
  <c r="I3" i="1"/>
  <c r="E7" i="1" l="1"/>
  <c r="G7" i="1" s="1"/>
  <c r="I146" i="6"/>
  <c r="I147" i="6" s="1"/>
  <c r="I149" i="6" s="1"/>
  <c r="I155" i="6" s="1"/>
  <c r="I157" i="6" s="1"/>
  <c r="I146" i="11"/>
  <c r="I147" i="11" s="1"/>
  <c r="I149" i="11" s="1"/>
  <c r="I155" i="11" s="1"/>
  <c r="I157" i="11" s="1"/>
  <c r="E12" i="1"/>
  <c r="G12" i="1" s="1"/>
  <c r="I5" i="1"/>
  <c r="H5" i="1"/>
  <c r="I146" i="12"/>
  <c r="I147" i="12" s="1"/>
  <c r="I149" i="12" s="1"/>
  <c r="I155" i="12" s="1"/>
  <c r="I157" i="12" s="1"/>
  <c r="E13" i="1"/>
  <c r="G13" i="1" s="1"/>
  <c r="I11" i="1"/>
  <c r="H11" i="1"/>
  <c r="H10" i="1"/>
  <c r="I10" i="1"/>
  <c r="H6" i="1"/>
  <c r="I6" i="1"/>
  <c r="I9" i="1"/>
  <c r="H9" i="1"/>
  <c r="I146" i="3"/>
  <c r="I147" i="3" s="1"/>
  <c r="I149" i="3" s="1"/>
  <c r="I155" i="3" s="1"/>
  <c r="I157" i="3" s="1"/>
  <c r="E4" i="1"/>
  <c r="G4" i="1" s="1"/>
  <c r="I8" i="1"/>
  <c r="H8" i="1"/>
  <c r="I4" i="1" l="1"/>
  <c r="H4" i="1"/>
  <c r="G15" i="1"/>
  <c r="I12" i="1"/>
  <c r="H12" i="1"/>
  <c r="I13" i="1"/>
  <c r="H13" i="1"/>
  <c r="I7" i="1"/>
  <c r="H7" i="1"/>
  <c r="H15" i="1" l="1"/>
  <c r="I15" i="1"/>
</calcChain>
</file>

<file path=xl/comments1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ID#AAAAfhaDygs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ID#AAAAfhaDylw
UFERSA    (2022-09-06 16:49:50)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ID#AAAAfhaDyco
UFERSA    (2022-09-06 16:49:49)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ID#AAAAfhaDymM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ID#AAAAfhaDyqQ
UFERSA    (2022-09-06 16:49:50)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ID#AAAAfhaDyoU
UFERSA    (2022-09-06 16:49:50)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ID#AAAAfhaDycM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ID#AAAAfhaDyj4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ID#AAAAfhaDyoI
UFERSA    (2022-09-06 16:49:50)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ID#AAAAfhaDyhI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ID#AAAAfhaDye8
UFERSA    (2022-09-06 16:49:49)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ID#AAAAfhaDykw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ID#AAAAfhaDyfc
UFERSA    (2022-09-06 16:49:49)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ID#AAAAfhaDypE
UFERSA    (2022-09-06 16:49:50)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ID#AAAAfhaDymo
UFERSA    (2022-09-06 16:49:50)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ID#AAAAfhaDyb8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ID#AAAAngRlgNE
Assessoria Contábil Proad    (2023-01-19 17:31:05)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ID#AAAAfhaDylQ
UFERSA    (2022-09-06 16:49:50)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ID#AAAAfhaDyZ0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ID#AAAAfhaDyj8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ID#AAAAfhaDyow
UFERSA    (2022-09-06 16:49:50)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ID#AAAAfhaDylI
UFERSA    (2022-09-06 16:49:50)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ID#AAAAoiMfTKM
Assessoria Contábil Proad    (2023-01-30 16:06:01)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ID#AAAAoiMfTKQ
Assessoria Contábil Proad    (2023-01-30 16:06:06)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n91AROc9VphcxVY4JyqjxpX4nRw=="/>
    </ext>
  </extLst>
</comments>
</file>

<file path=xl/comments10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ID#AAAAfhaDybI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ID#AAAAfhaDynk
UFERSA    (2022-09-06 16:49:50)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ID#AAAAfhaDylM
UFERSA    (2022-09-06 16:49:50)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ID#AAAAfhaDyoo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ID#AAAAfhaDygg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ID#AAAAfhaDylg
UFERSA    (2022-09-06 16:49:50)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ID#AAAAfhaDyqI
UFERSA    (2022-09-06 16:49:50)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ID#AAAAfhaDyk0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ID#AAAAfhaDyoE
UFERSA    (2022-09-06 16:49:50)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ID#AAAAfhaDyqE
UFERSA    (2022-09-06 16:49:50)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ID#AAAAfhaDyho
UFERSA    (2022-09-06 16:49:49)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ID#AAAAfhaDygA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ID#AAAAfhaDygU
UFERSA    (2022-09-06 16:49:49)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ID#AAAAfhaDyaE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ID#AAAAfhaDyaM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ID#AAAAfhaDyb4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ID#AAAAoNevi0M
Assessoria Contábil Proad    (2023-01-30 12:03:55)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ID#AAAAfhaDykc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ID#AAAAfhaDylo
UFERSA    (2022-09-06 16:49:50)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ID#AAAAfhaDygk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ID#AAAAfhaDycA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ID#AAAAfhaDyno
UFERSA    (2022-09-06 16:49:50)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ID#AAAAoiMfTMo
Assessoria Contábil Proad    (2023-01-30 16:08:52)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ID#AAAAoiMfTMs
Assessoria Contábil Proad    (2023-01-30 16:08:56)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bVggvoiHnWRJGooGG/WhuR2mH/w=="/>
    </ext>
  </extLst>
</comments>
</file>

<file path=xl/comments11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ID#AAAAfhaDymc
UFERSA    (2022-09-06 16:49:50)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ID#AAAAfhaDyfs
UFERSA    (2022-09-06 16:49:49)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ID#AAAAfhaDydk
UFERSA    (2022-09-06 16:49:49)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ID#AAAAfhaDymU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ID#AAAAfhaDye4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ID#AAAAfhaDyhk
UFERSA    (2022-09-06 16:49:49)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ID#AAAAfhaDymI
UFERSA    (2022-09-06 16:49:50)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ID#AAAAfhaDykk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ID#AAAAfhaDyiY
UFERSA    (2022-09-06 16:49:49)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ID#AAAAfhaDygc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ID#AAAAfhaDyg4
UFERSA    (2022-09-06 16:49:49)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ID#AAAAfhaDyck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ID#AAAAfhaDynA
UFERSA    (2022-09-06 16:49:50)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ID#AAAAfhaDybA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ID#AAAAfhaDykI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ID#AAAAfhaDymY
UFERSA    (2022-09-06 16:49:50)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ID#AAAAoNevi0Q
Assessoria Contábil Proad    (2023-01-30 12:04:08)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ID#AAAAfhaDyb0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ID#AAAAfhaDykA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ID#AAAAfhaDykM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ID#AAAAfhaDyqg
UFERSA    (2022-09-06 16:49:50)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ID#AAAAfhaDymk
UFERSA    (2022-09-06 16:49:50)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ID#AAAAoiMfTM4
Assessoria Contábil Proad    (2023-01-30 16:09:09)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ID#AAAAoiMfTM8
Assessoria Contábil Proad    (2023-01-30 16:09:13)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mtJ863Q8bxXMRf3puNXf4xjAOSg=="/>
    </ext>
  </extLst>
</comments>
</file>

<file path=xl/comments2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ID#AAAAfhaDyk4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ID#AAAAfhaDygI
UFERSA    (2022-09-06 16:49:49)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ID#AAAAfhaDym8
UFERSA    (2022-09-06 16:49:50)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ID#AAAAfhaDyZ4
UFERSA    (2022-09-06 16:49:49)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ID#AAAAfhaDyak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ID#AAAAfhaDyhc
UFERSA    (2022-09-06 16:49:49)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ID#AAAAfhaDygM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ID#AAAAfhaDyl8
UFERSA    (2022-09-06 16:49:50)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ID#AAAAfhaDync
UFERSA    (2022-09-06 16:49:50)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ID#AAAAfhaDyek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ID#AAAAfhaDymg
UFERSA    (2022-09-06 16:49:50)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ID#AAAAfhaDyp0
UFERSA    (2022-09-06 16:49:50)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ID#AAAAfhaDyoY
UFERSA    (2022-09-06 16:49:50)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ID#AAAAfhaDypY
UFERSA    (2022-09-06 16:49:50)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ID#AAAAfhaDyiQ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ID#AAAAfhaDym4
UFERSA    (2022-09-06 16:49:50)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ID#AAAAoNevizs
Assessoria Contábil Proad    (2023-01-30 12:03:03)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ID#AAAAfhaDyhM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ID#AAAAfhaDyaY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ID#AAAAfhaDymE
UFERSA    (2022-09-06 16:49:50)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ID#AAAAfhaDyjQ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ID#AAAAfhaDyfM
UFERSA    (2022-09-06 16:49:49)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ID#AAAAoiMfTKc
Assessoria Contábil Proad    (2023-01-30 16:06:21)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ID#AAAAoiMfTKg
Assessoria Contábil Proad    (2023-01-30 16:06:25)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uWnN4Yybs0FDoOhhKpGP5KV2Vow=="/>
    </ext>
  </extLst>
</comments>
</file>

<file path=xl/comments3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ID#AAAAfhaDyic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ID#AAAAfhaDyjk
UFERSA    (2022-09-06 16:49:49)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ID#AAAAfhaDyjw
UFERSA    (2022-09-06 16:49:49)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ID#AAAAfhaDydU
UFERSA    (2022-09-06 16:49:49)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ID#AAAAfhaDyaA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ID#AAAAfhaDypU
UFERSA    (2022-09-06 16:49:50)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ID#AAAAfhaDyig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ID#AAAAfhaDypI
UFERSA    (2022-09-06 16:49:50)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ID#AAAAfhaDyfA
UFERSA    (2022-09-06 16:49:49)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ID#AAAAfhaDya8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ID#AAAAfhaDyg8
UFERSA    (2022-09-06 16:49:49)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ID#AAAAfhaDyos
UFERSA    (2022-09-06 16:49:50)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ID#AAAAfhaDyqo
UFERSA    (2022-09-06 16:49:50)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ID#AAAAfhaDycg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ID#AAAAfhaDyog
UFERSA    (2022-09-06 16:49:50)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ID#AAAAfhaDyhw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ID#AAAAoNevizw
Assessoria Contábil Proad    (2023-01-30 12:03:10)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ID#AAAAfhaDyfw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ID#AAAAfhaDyf8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ID#AAAAfhaDyfY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ID#AAAAfhaDyeQ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ID#AAAAfhaDyn8
UFERSA    (2022-09-06 16:49:50)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ID#AAAAoiMfTKs
Assessoria Contábil Proad    (2023-01-30 16:06:40)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ID#AAAAoiMfTKw
Assessoria Contábil Proad    (2023-01-30 16:06:45)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kBHIGIbGx1IYSU9Hy0dQfXp53Cg=="/>
    </ext>
  </extLst>
</comments>
</file>

<file path=xl/comments4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ID#AAAAfhaDygw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ID#AAAAfhaDyc8
UFERSA    (2022-09-06 16:49:49)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ID#AAAAfhaDyn4
UFERSA    (2022-09-06 16:49:50)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ID#AAAAfhaDyh4
UFERSA    (2022-09-06 16:49:49)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ID#AAAAfhaDyjA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ID#AAAAfhaDyd0
UFERSA    (2022-09-06 16:49:49)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ID#AAAAfhaDyf0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ID#AAAAfhaDygQ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ID#AAAAfhaDycE
UFERSA    (2022-09-06 16:49:49)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ID#AAAAfhaDyZo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ID#AAAAfhaDyok
UFERSA    (2022-09-06 16:49:50)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ID#AAAAfhaDycs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ID#AAAAfhaDypA
UFERSA    (2022-09-06 16:49:50)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ID#AAAAfhaDybE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ID#AAAAfhaDye0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ID#AAAAfhaDybo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ID#AAAAoNeviz0
Assessoria Contábil Proad    (2023-01-30 12:03:17)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ID#AAAAfhaDyec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ID#AAAAfhaDydo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ID#AAAAfhaDybs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ID#AAAAfhaDyfI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ID#AAAAfhaDyi8
UFERSA    (2022-09-06 16:49:49)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ID#AAAAoiMfTK8
Assessoria Contábil Proad    (2023-01-30 16:06:59)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ID#AAAAoiMfTLA
Assessoria Contábil Proad    (2023-01-30 16:07:03)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XeyOGV6IG2iyFcMTXRJE2weyUrA=="/>
    </ext>
  </extLst>
</comments>
</file>

<file path=xl/comments5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ID#AAAAfhaDyZ8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ID#AAAAfhaDydM
UFERSA    (2022-09-06 16:49:49)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ID#AAAAfhaDyfU
UFERSA    (2022-09-06 16:49:49)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ID#AAAAfhaDyp4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ID#AAAAfhaDyd4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ID#AAAAfhaDynE
UFERSA    (2022-09-06 16:49:50)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ID#AAAAfhaDyaw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ID#AAAAfhaDykQ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ID#AAAAfhaDyeA
UFERSA    (2022-09-06 16:49:49)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ID#AAAAfhaDyoQ
UFERSA    (2022-09-06 16:49:50)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ID#AAAAfhaDyoA
UFERSA    (2022-09-06 16:49:50)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ID#AAAAfhaDydA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ID#AAAAfhaDyaI
UFERSA    (2022-09-06 16:49:49)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ID#AAAAfhaDyg0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ID#AAAAfhaDyi4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ID#AAAAfhaDyo0
UFERSA    (2022-09-06 16:49:50)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ID#AAAAoNeviz4
Assessoria Contábil Proad    (2023-01-30 12:03:23)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ID#AAAAfhaDydE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ID#AAAAfhaDyis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ID#AAAAfhaDyik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ID#AAAAfhaDyns
UFERSA    (2022-09-06 16:49:50)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ID#AAAAfhaDycc
UFERSA    (2022-09-06 16:49:49)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ID#AAAAoiMfTLM
Assessoria Contábil Proad    (2023-01-30 16:07:17)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ID#AAAAoiMfTLQ
Assessoria Contábil Proad    (2023-01-30 16:07:22)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+KTcDW/JwKOxBl6MShp+9xz5Anw=="/>
    </ext>
  </extLst>
</comments>
</file>

<file path=xl/comments6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ID#AAAAfhaDyeI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ID#AAAAfhaDyo4
UFERSA    (2022-09-06 16:49:50)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ID#AAAAfhaDyms
UFERSA    (2022-09-06 16:49:50)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ID#AAAAfhaDyoM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ID#AAAAfhaDyeg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ID#AAAAfhaDypw
UFERSA    (2022-09-06 16:49:50)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ID#AAAAfhaDyc0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ID#AAAAfhaDyjo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ID#AAAAfhaDyl0
UFERSA    (2022-09-06 16:49:50)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ID#AAAAfhaDyqA
UFERSA    (2022-09-06 16:49:50)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ID#AAAAfhaDycI
UFERSA    (2022-09-06 16:49:49)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ID#AAAAfhaDykU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ID#AAAAfhaDyhU
UFERSA    (2022-09-06 16:49:49)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ID#AAAAfhaDypo
UFERSA    (2022-09-06 16:49:50)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ID#AAAAfhaDyhA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ID#AAAAfhaDyjc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ID#AAAAoNeviz8
Assessoria Contábil Proad    (2023-01-30 12:03:29)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ID#AAAAfhaDyh0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ID#AAAAfhaDyaQ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ID#AAAAfhaDyjg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ID#AAAAfhaDyhQ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ID#AAAAfhaDydI
UFERSA    (2022-09-06 16:49:49)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ID#AAAAoiMfTLc
Assessoria Contábil Proad    (2023-01-30 16:07:37)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ID#AAAAoiMfTLg
Assessoria Contábil Proad    (2023-01-30 16:07:41)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CbniAWweoV0u6WGYIEEy3Qthj0w=="/>
    </ext>
  </extLst>
</comments>
</file>

<file path=xl/comments7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ID#AAAAfhaDyiw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ID#AAAAfhaDymA
UFERSA    (2022-09-06 16:49:50)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ID#AAAAfhaDyhY
UFERSA    (2022-09-06 16:49:49)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ID#AAAAfhaDypc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ID#AAAAfhaDydQ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ID#AAAAfhaDygE
UFERSA    (2022-09-06 16:49:49)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ID#AAAAfhaDyqk
UFERSA    (2022-09-06 16:49:50)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ID#AAAAfhaDyeo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ID#AAAAfhaDylY
UFERSA    (2022-09-06 16:49:50)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ID#AAAAfhaDya0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ID#AAAAfhaDyqc
UFERSA    (2022-09-06 16:49:50)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ID#AAAAfhaDyjY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ID#AAAAfhaDypk
UFERSA    (2022-09-06 16:49:50)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ID#AAAAfhaDykE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ID#AAAAfhaDyes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ID#AAAAfhaDybw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ID#AAAAoNevi0A
Assessoria Contábil Proad    (2023-01-30 12:03:37)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ID#AAAAfhaDycQ
UFERSA    (2022-09-06 16:49:49)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ID#AAAAfhaDyjI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ID#AAAAfhaDylk
UFERSA    (2022-09-06 16:49:50)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ID#AAAAfhaDyZw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ID#AAAAfhaDynI
UFERSA    (2022-09-06 16:49:50)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ID#AAAAoiMfTL4
Assessoria Contábil Proad    (2023-01-30 16:07:54)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ID#AAAAoiMfTL8
Assessoria Contábil Proad    (2023-01-30 16:07:59)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y3isbgxpgDNRWlj/NtFMSFjasvQ=="/>
    </ext>
  </extLst>
</comments>
</file>

<file path=xl/comments8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ID#AAAAfhaDyjU
UFERSA    (2022-09-06 16:49:49)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ID#AAAAfhaDygo
UFERSA    (2022-09-06 16:49:49)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ID#AAAAfhaDylc
UFERSA    (2022-09-06 16:49:50)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ID#AAAAfhaDyiE
UFERSA    (2022-09-06 16:49:49)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ID#AAAAfhaDyd8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ID#AAAAfhaDyjM
UFERSA    (2022-09-06 16:49:49)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ID#AAAAfhaDyhs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ID#AAAAfhaDyhg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ID#AAAAfhaDyqU
UFERSA    (2022-09-06 16:49:50)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ID#AAAAfhaDyeM
UFERSA    (2022-09-06 16:49:49)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ID#AAAAfhaDybQ
UFERSA    (2022-09-06 16:49:49)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ID#AAAAfhaDyag
UFERSA    (2022-09-06 16:49:49)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ID#AAAAfhaDymw
UFERSA    (2022-09-06 16:49:50)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ID#AAAAfhaDyiU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ID#AAAAfhaDykY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ID#AAAAfhaDyeE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ID#AAAAoNevi0E
Assessoria Contábil Proad    (2023-01-30 12:03:43)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ID#AAAAfhaDyqM
UFERSA    (2022-09-06 16:49:50)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ID#AAAAfhaDybU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ID#AAAAfhaDybY
UFERSA    (2022-09-06 16:49:49)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ID#AAAAfhaDymQ
UFERSA    (2022-09-06 16:49:50)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ID#AAAAfhaDyi0
UFERSA    (2022-09-06 16:49:49)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ID#AAAAoiMfTMI
Assessoria Contábil Proad    (2023-01-30 16:08:15)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ID#AAAAoiMfTMM
Assessoria Contábil Proad    (2023-01-30 16:08:19)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44r4idjKTc94Wbwlcy4IUj3frvg=="/>
    </ext>
  </extLst>
</comments>
</file>

<file path=xl/comments9.xml><?xml version="1.0" encoding="utf-8"?>
<comments xmlns="http://schemas.openxmlformats.org/spreadsheetml/2006/main">
  <authors>
    <author/>
  </authors>
  <commentList>
    <comment ref="H11" authorId="0">
      <text>
        <r>
          <rPr>
            <sz val="11"/>
            <color rgb="FF000000"/>
            <rFont val="Calibri"/>
            <scheme val="minor"/>
          </rPr>
          <t>======
ID#AAAAfhaDyps
UFERSA    (2022-09-06 16:49:50)
+ Termo Aditivo RN000038/2022</t>
        </r>
      </text>
    </comment>
    <comment ref="C31" authorId="0">
      <text>
        <r>
          <rPr>
            <sz val="11"/>
            <color rgb="FF000000"/>
            <rFont val="Calibri"/>
            <scheme val="minor"/>
          </rPr>
          <t>======
ID#AAAAfhaDypQ
UFERSA    (2022-09-06 16:49:50)
Atualizado conforme Termo Aditivo RN000038/2022</t>
        </r>
      </text>
    </comment>
    <comment ref="H33" authorId="0">
      <text>
        <r>
          <rPr>
            <sz val="11"/>
            <color rgb="FF000000"/>
            <rFont val="Calibri"/>
            <scheme val="minor"/>
          </rPr>
          <t>======
ID#AAAAfhaDylU
UFERSA    (2022-09-06 16:49:50)
Cláusula Décima Segunda</t>
        </r>
      </text>
    </comment>
    <comment ref="H34" authorId="0">
      <text>
        <r>
          <rPr>
            <sz val="11"/>
            <color rgb="FF000000"/>
            <rFont val="Calibri"/>
            <scheme val="minor"/>
          </rPr>
          <t>======
ID#AAAAfhaDypg
UFERSA    (2022-09-06 16:49:50)
Cláusula Décima Primeira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ID#AAAAfhaDyas
UFERSA    (2022-09-06 16:49:49)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ID#AAAAfhaDyiI
UFERSA    (2022-09-06 16:49:49)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ID#AAAAfhaDybg
UFERSA    (2022-09-06 16:49:49)
Para jornada de 12x36 horas não será devido este adicional, conforme §1º do art. 59-A da CLT.</t>
        </r>
      </text>
    </comment>
    <comment ref="I44" authorId="0">
      <text>
        <r>
          <rPr>
            <sz val="11"/>
            <color rgb="FF000000"/>
            <rFont val="Calibri"/>
            <scheme val="minor"/>
          </rPr>
          <t>======
ID#AAAAfhaDycY
UFERSA    (2022-09-06 16:49:49)
CONTA VINCULADA:
(2.1 B) Adicional de Férias: (1 salário/3) x (1/11 meses) = 0,0303 = 3,03% ≅ 3,025% + 
(4.1 A) 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2" authorId="0">
      <text>
        <r>
          <rPr>
            <sz val="11"/>
            <color rgb="FF000000"/>
            <rFont val="Calibri"/>
            <scheme val="minor"/>
          </rPr>
          <t>======
ID#AAAAfhaDyks
UFERSA    (2022-09-06 16:49:49)
Comprovar pela GFIP!</t>
        </r>
      </text>
    </comment>
    <comment ref="C62" authorId="0">
      <text>
        <r>
          <rPr>
            <sz val="11"/>
            <color rgb="FF000000"/>
            <rFont val="Calibri"/>
            <scheme val="minor"/>
          </rPr>
          <t>======
ID#AAAAfhaDyls
UFERSA    (2022-09-06 16:49:50)
Cláusula Décima Sexta</t>
        </r>
      </text>
    </comment>
    <comment ref="C64" authorId="0">
      <text>
        <r>
          <rPr>
            <sz val="11"/>
            <color rgb="FF000000"/>
            <rFont val="Calibri"/>
            <scheme val="minor"/>
          </rPr>
          <t>======
ID#AAAAfhaDynw
UFERSA    (2022-09-06 16:49:50)
Cláusula Décima Quarta;
Atualizado conforme Termo Aditivo RN000038/2022 - Cláusula Quinta</t>
        </r>
      </text>
    </comment>
    <comment ref="C66" authorId="0">
      <text>
        <r>
          <rPr>
            <sz val="11"/>
            <color rgb="FF000000"/>
            <rFont val="Calibri"/>
            <scheme val="minor"/>
          </rPr>
          <t>======
ID#AAAAfhaDyqY
UFERSA    (2022-09-06 16:49:50)
Cláusula Décima Sétima</t>
        </r>
      </text>
    </comment>
    <comment ref="C67" authorId="0">
      <text>
        <r>
          <rPr>
            <sz val="11"/>
            <color rgb="FF000000"/>
            <rFont val="Calibri"/>
            <scheme val="minor"/>
          </rPr>
          <t>======
ID#AAAAfhaDyfo
UFERSA    (2022-09-06 16:49:49)
Cláusula Décima Oitava e Vigésima Sétima;
Atualizado conforme Termo Aditivo RN000038/2022 - Cláusulas Sexta e Oitava</t>
        </r>
      </text>
    </comment>
    <comment ref="C68" authorId="0">
      <text>
        <r>
          <rPr>
            <sz val="11"/>
            <color rgb="FF000000"/>
            <rFont val="Calibri"/>
            <scheme val="minor"/>
          </rPr>
          <t>======
ID#AAAAfhaDylA
UFERSA    (2022-09-06 16:49:49)
Cláusula Décima Nona;
Atualizado conforme Termo Aditivo RN000038/2022 - Cláusula Sétima</t>
        </r>
      </text>
    </comment>
    <comment ref="M81" authorId="0">
      <text>
        <r>
          <rPr>
            <sz val="11"/>
            <color rgb="FF000000"/>
            <rFont val="Calibri"/>
            <scheme val="minor"/>
          </rPr>
          <t>======
ID#AAAAfhaDyeU
UFERSA    (2022-09-06 16:49:49)
5,55% é o percentual de empregados que fazem jus ao API, item 11 do Acórdão TCU nº 1.904/2007 - Plenário.
Considerando que 56,24% dos faxineiros foram demitidos sem justa causa pelo empregador, dados do CAGED exercício de 2018.
Fonte: Referencial Técnico de Custos - MPU 3ª Edição</t>
        </r>
      </text>
    </comment>
    <comment ref="M84" authorId="0">
      <text>
        <r>
          <rPr>
            <sz val="11"/>
            <color rgb="FF000000"/>
            <rFont val="Calibri"/>
            <scheme val="minor"/>
          </rPr>
          <t>======
ID#AAAAfhaDyaU
UFERSA    (2022-09-06 16:49:49)
94,45% cumprem APT, que é diferença percentual 100% e 5,55% (percentual de empregados que fazem jus ao API, item 11 do Acórdão TCU nº 1.904/2007 - Plenário).
Considerando que 56,24% dos faxineiros foram demitidos sem justa causa pelo empregador, dados do CAGED exercício de 2018.
Fonte: Referencial Técnico de Custos - MPU 3ª Edição</t>
        </r>
      </text>
    </comment>
    <comment ref="M92" authorId="0">
      <text>
        <r>
          <rPr>
            <sz val="11"/>
            <color rgb="FF000000"/>
            <rFont val="Calibri"/>
            <scheme val="minor"/>
          </rPr>
          <t>======
ID#AAAAoNevi0I
Assessoria Contábil Proad    (2023-01-30 12:03:48)
[ (13º Salário + Férias + Adicional de férias) x (mês trabalhado/meses do ano) ] / meses do ano = [ (1+1+1/3) x (1/12) ] / 12 = 0,016204 =&gt; 1,62%</t>
        </r>
      </text>
    </comment>
    <comment ref="M93" authorId="0">
      <text>
        <r>
          <rPr>
            <sz val="11"/>
            <color rgb="FF000000"/>
            <rFont val="Calibri"/>
            <scheme val="minor"/>
          </rPr>
          <t>======
ID#AAAAfhaDyn0
UFERSA    (2022-09-06 16:49:50)
Fundamentação: CLT (arts. 131, I, e 473, I, II, X e XI)
Fonte: Referencial Técnico de Custos - MPU 3ª Edição</t>
        </r>
      </text>
    </comment>
    <comment ref="M94" authorId="0">
      <text>
        <r>
          <rPr>
            <sz val="11"/>
            <color rgb="FF000000"/>
            <rFont val="Calibri"/>
            <scheme val="minor"/>
          </rPr>
          <t>======
ID#AAAAfhaDyc4
UFERSA    (2022-09-06 16:49:49)
Fundamentação: art. 1º, inciso II, da Lei nº 11.770/2008.
1,416% referente à taxa bruta de natalidade em 2015.
45,22% participação masculina nos serviços de vigilância, CAGED exercício 2018.
Fonte: Referencial Técnico de Custos - MPU 3ª Edição</t>
        </r>
      </text>
    </comment>
    <comment ref="M95" authorId="0">
      <text>
        <r>
          <rPr>
            <sz val="11"/>
            <color rgb="FF000000"/>
            <rFont val="Calibri"/>
            <scheme val="minor"/>
          </rPr>
          <t>======
ID#AAAAfhaDyng
UFERSA    (2022-09-06 16:49:50)
Fundamentação: arts. 19 a 23 da Lei 8.213/91; Lei nº 6.367/76 e art. 473 da CLT;
0,44% percentual do Referencial Técnico de Custos - MPU 3ª Edição.</t>
        </r>
      </text>
    </comment>
    <comment ref="C96" authorId="0">
      <text>
        <r>
          <rPr>
            <sz val="11"/>
            <color rgb="FF000000"/>
            <rFont val="Calibri"/>
            <scheme val="minor"/>
          </rPr>
          <t>======
ID#AAAAfhaDyk8
UFERSA    (2022-09-06 16:49:49)
Encargos correspondentes ao período do afastamento não cobertos pela Previdência Social no Afastamento Maternidade, tais como: férias proporcionais, encargos previdenciários, FGTS, e outros.</t>
        </r>
      </text>
    </comment>
    <comment ref="M96" authorId="0">
      <text>
        <r>
          <rPr>
            <sz val="11"/>
            <color rgb="FF000000"/>
            <rFont val="Calibri"/>
            <scheme val="minor"/>
          </rPr>
          <t>======
ID#AAAAfhaDycU
UFERSA    (2022-09-06 16:49:49)
Fundamentação:
1,416% referente à taxa bruta de natalidade em 2015 (IBGE);
54,78% participação feminina nos serviços de limpeza e conservação (CAGED - 2018);
Campo I58, percentual de encargos sociais devidos pelo empregador tendo em vista que só arca com a parcela relativa aos encargos sociais da trabalhadora, ficando o salário a cargo do INSS.
Fonte: Referencial Técnico de Custos - MPU 3ª Edição</t>
        </r>
      </text>
    </comment>
    <comment ref="M122" authorId="0">
      <text>
        <r>
          <rPr>
            <sz val="11"/>
            <color rgb="FF000000"/>
            <rFont val="Calibri"/>
            <scheme val="minor"/>
          </rPr>
          <t>======
ID#AAAAoiMfTMY
Assessoria Contábil Proad    (2023-01-30 16:08:33)
Caderno de Logística - Prestação de Serviços de Limpeza, Asseio e Conservação, pág. 43 (Tabela 1)</t>
        </r>
      </text>
    </comment>
    <comment ref="M123" authorId="0">
      <text>
        <r>
          <rPr>
            <sz val="11"/>
            <color rgb="FF000000"/>
            <rFont val="Calibri"/>
            <scheme val="minor"/>
          </rPr>
          <t>======
ID#AAAAoiMfTMc
Assessoria Contábil Proad    (2023-01-30 16:08:37)
Caderno de Logística - Prestação de Serviços de Limpeza, Asseio e Conservação, pág. 43 (Tabela 1)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jSc+7DLZp3rBqLtkOoGYXSYBMbQ=="/>
    </ext>
  </extLst>
</comments>
</file>

<file path=xl/sharedStrings.xml><?xml version="1.0" encoding="utf-8"?>
<sst xmlns="http://schemas.openxmlformats.org/spreadsheetml/2006/main" count="4176" uniqueCount="473">
  <si>
    <t>QUADRO DEMONSTRATIVO DO VALOR ESTIMADO GLOBAL DA PROPOSTA</t>
  </si>
  <si>
    <t>Item</t>
  </si>
  <si>
    <t>Descrição / Especificação</t>
  </si>
  <si>
    <t>Unidade</t>
  </si>
  <si>
    <t>Valor Unitário</t>
  </si>
  <si>
    <t>Quantidade</t>
  </si>
  <si>
    <t>Valor Mensal Estimado</t>
  </si>
  <si>
    <t>Valor Anual Estimado</t>
  </si>
  <si>
    <t>Valor Estimado 30 meses</t>
  </si>
  <si>
    <t>DESPESAS COM HORAS EXTRAS</t>
  </si>
  <si>
    <t>VALOR TOTAL=</t>
  </si>
  <si>
    <t>PLANILHA DE CUSTOS E FORMAÇÕES DE PREÇOS - UFERSA</t>
  </si>
  <si>
    <t xml:space="preserve">Processo nº: </t>
  </si>
  <si>
    <t xml:space="preserve">Licitação nº: </t>
  </si>
  <si>
    <t>Pregão nº XXXX/20XX</t>
  </si>
  <si>
    <t>Data do Pregão:</t>
  </si>
  <si>
    <t>DD/MM/AAAA</t>
  </si>
  <si>
    <t>Horário:</t>
  </si>
  <si>
    <t>XX:XX hrs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</si>
  <si>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</si>
  <si>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</si>
  <si>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</si>
  <si>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</si>
  <si>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</si>
  <si>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</si>
  <si>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</si>
  <si>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Mossoró/RN</t>
  </si>
  <si>
    <t>Informar o Município e UF</t>
  </si>
  <si>
    <t>C</t>
  </si>
  <si>
    <t>Ano Acordo, Convenção ou Sentença Normativa em Dissídio Coletivo</t>
  </si>
  <si>
    <t>CCT-RN000063/2021</t>
  </si>
  <si>
    <t>Informar qual CCT Base e Ano</t>
  </si>
  <si>
    <t>D</t>
  </si>
  <si>
    <t>Nº de meses de execução contratual</t>
  </si>
  <si>
    <t>Informar Nº de Meses da Execução Contratual de Acordo com o Termo de Referência</t>
  </si>
  <si>
    <t>IDENTIFICAÇÃO DO SERVIÇO</t>
  </si>
  <si>
    <t>Unidade de medida</t>
  </si>
  <si>
    <t>Posto de Serviço</t>
  </si>
  <si>
    <t>Informar a Unidade de Medida de Acordo com o Termo de Referência</t>
  </si>
  <si>
    <t>Quantidade total a contratar (em função da unidade de medida):</t>
  </si>
  <si>
    <t>Informar a Quantidade a Contratar de Acordo com o Termo de Referência</t>
  </si>
  <si>
    <t>Cargo:</t>
  </si>
  <si>
    <t>AUXILIAR DE LIMPEZA</t>
  </si>
  <si>
    <t>Informar o Cargo a ser Preenchido</t>
  </si>
  <si>
    <t>MÃO-DE-OBRA</t>
  </si>
  <si>
    <t>MÃO-DE-OBRA VINCULADA À EXECUÇÃO CONTRATUAL</t>
  </si>
  <si>
    <t>Dados complementares para composição dos custos referente à mão-de-obra</t>
  </si>
  <si>
    <t>Tipo do serviço</t>
  </si>
  <si>
    <t>Limpeza e Conservação</t>
  </si>
  <si>
    <t>Informar o Tipo de Serviço</t>
  </si>
  <si>
    <t>Classificação Brasileira de Ocupações (CBO)</t>
  </si>
  <si>
    <t>5143-20</t>
  </si>
  <si>
    <t>Informar o CBO da Ocupação</t>
  </si>
  <si>
    <t>Salário Normativo da Categoria Profissional</t>
  </si>
  <si>
    <t>Informar o Salário Normativo contido na CCT</t>
  </si>
  <si>
    <t xml:space="preserve">Categoria profissional </t>
  </si>
  <si>
    <t>Aux. de Limpeza</t>
  </si>
  <si>
    <t>Informar a Categoria Profissional</t>
  </si>
  <si>
    <t>Data base da categoria</t>
  </si>
  <si>
    <t>01 de Janeiro</t>
  </si>
  <si>
    <t>Informar a Data Base da Categoria</t>
  </si>
  <si>
    <t>MÓDULO 01: COMPOSIÇÃO DA REMUNERAÇÃO</t>
  </si>
  <si>
    <t>Composição da remuneração</t>
  </si>
  <si>
    <t>Valor (R$)</t>
  </si>
  <si>
    <t>Salário base</t>
  </si>
  <si>
    <t>Salário Base contido na CCT ou qualquer outro valor acima deste</t>
  </si>
  <si>
    <t>Adicional de periculosidade</t>
  </si>
  <si>
    <t>Sim/Não</t>
  </si>
  <si>
    <t>N</t>
  </si>
  <si>
    <t>Cálculo = Se Houver Adicional - Marcar S (Campo F32) para o cálculo Salario Base (Campo I31) * H32 ser gerado no Campo I32</t>
  </si>
  <si>
    <t>Adicional de insalubridade</t>
  </si>
  <si>
    <t>Cálculo = Se Houver Adicional - Marcar S (Campo F33) para o cálculo Salario Mínimo ou Regional (campo G33) x Percentual de 10%, 20% ou 40% dependendo do grau de insalubridade (campo H33) ser gerado no Campo I33</t>
  </si>
  <si>
    <t>Adicional noturno</t>
  </si>
  <si>
    <t>Cálculo = Se Houver Adicional - Marcar S (Campo F34) para o cálculo Salário Base mais adicionais que compoem a remuneração / 220h x 7 x 15,2 x percentual do Adicional Noturno (H34) a ser gerado no Campo I34</t>
  </si>
  <si>
    <t>E</t>
  </si>
  <si>
    <t xml:space="preserve">Hora noturna adicional - ou hora noturna reduzida </t>
  </si>
  <si>
    <t>Cálculo = Se Houver Adicional - Marcar S (Campo H35) para o cálculo Salário Base mais adicionais que compõem a remuneração / 220h x 7 x 15,2 x percentual do Adicional Noturno (H34) * 0,1429 a ser gerado no Campo I35</t>
  </si>
  <si>
    <t>F</t>
  </si>
  <si>
    <t>Adicional de hora extra no feriado</t>
  </si>
  <si>
    <t>G</t>
  </si>
  <si>
    <t>Outros (especificar)</t>
  </si>
  <si>
    <t>TOTAL DA REMUNERAÇÃO</t>
  </si>
  <si>
    <t>Soma dos Itens A a G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</si>
  <si>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</si>
  <si>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</si>
  <si>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</si>
  <si>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</si>
  <si>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</si>
  <si>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</si>
  <si>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t>Cálculo = 1/12 (Campo I43) x Total da Remuneração (Campo I38)</t>
  </si>
  <si>
    <t>Férias e Adicional de Férias</t>
  </si>
  <si>
    <t>Cálculo = 0,1210 (Férias e Adicional de Férias) x Total da Remuneração (Campo I38)</t>
  </si>
  <si>
    <t>Incidência do submódulo 2.2 sobre o 13º Salário, Férias e Adicional de Férias</t>
  </si>
  <si>
    <t>Cálculo = Percentuais dos Campos I43, I44 e I91 x Total do Submódulo 2.2 (Campo I58) x Total ds Remuneração (Campo I38)</t>
  </si>
  <si>
    <t xml:space="preserve">TOTAL </t>
  </si>
  <si>
    <t>Soma dos Itens A a C</t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</si>
  <si>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</si>
  <si>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</si>
  <si>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</si>
  <si>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</si>
  <si>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I50) x Total da Remuneração (Campo I38)</t>
  </si>
  <si>
    <t>Salário Educação</t>
  </si>
  <si>
    <t>Cálculo = Percentual Legal de 2,50% (Campo I51) x Total da Remuneração (Campo I38)</t>
  </si>
  <si>
    <t>Seguro Acidente do Trabalho (RATxFAP)</t>
  </si>
  <si>
    <t>RAT</t>
  </si>
  <si>
    <t>FAT</t>
  </si>
  <si>
    <t>Cálculo = Multiplicção dos Fatores RAT x FAT - Valor que poderá ser no máximo de 3% (Campo I52) x Total da Remuneração (Campo I38)</t>
  </si>
  <si>
    <t>SESC ou SESI</t>
  </si>
  <si>
    <t>Cálculo = Percentual Legal de 1,50% (Campo I53) x Total da Remuneração (Campo I38)</t>
  </si>
  <si>
    <t>SENAI ou SENAC</t>
  </si>
  <si>
    <t>Cálculo = Percentual Legal de 1,00% (Campo I54) x Total da Remuneração (Campo I38)</t>
  </si>
  <si>
    <t>SEBRAE</t>
  </si>
  <si>
    <t>Cálculo = Percentual Legal de 0,60% (Campo I54) x Total da Remuneração (Campo I38)</t>
  </si>
  <si>
    <t>INCRA</t>
  </si>
  <si>
    <t>Cálculo = Percentual Legal de 0,20% (Campo I54) x Total da Remuneração (Campo I38)</t>
  </si>
  <si>
    <t>H</t>
  </si>
  <si>
    <t>FGTS</t>
  </si>
  <si>
    <t>Cálculo = Percentual Legal de 8,00% (Campo I54) x Total da Remuneração (Campo I38)</t>
  </si>
  <si>
    <t>TOTAL</t>
  </si>
  <si>
    <t>Soma dos Itens A a H</t>
  </si>
  <si>
    <t>Submódulo 2.3 - Benefícios Mensais e Diários</t>
  </si>
  <si>
    <t>2.3</t>
  </si>
  <si>
    <t>Benefícios Mensais e Diários</t>
  </si>
  <si>
    <t>Transporte</t>
  </si>
  <si>
    <t>SIM/NÃO</t>
  </si>
  <si>
    <t>Valor</t>
  </si>
  <si>
    <t>Passagens</t>
  </si>
  <si>
    <t>Dias</t>
  </si>
  <si>
    <t>Desconto</t>
  </si>
  <si>
    <t>Caso não seja previsto Auxílio Transporte, marcar a opção "N" no Campo D63</t>
  </si>
  <si>
    <t>S</t>
  </si>
  <si>
    <t>Cálculo = Valor Unitário da Passagem (Campo E63) x Quant. (Campo F63) x Total de Dias (Campo G63) - Desconto (6% do Total da Remuneração - Campo H63)</t>
  </si>
  <si>
    <t>Auxílio-Refeição/Alimentação</t>
  </si>
  <si>
    <t>Mês</t>
  </si>
  <si>
    <t>Caso não seja previsto Auxílio Alimentaçõ/Refeição, marcar a opção "N" no Campo E65</t>
  </si>
  <si>
    <t>Cálculo = Valor Unitário do Vale (Campo F65) x Total de Dias (Campo G65) - Desconto (verificar se há ou não desconto na CCT e aplicar)</t>
  </si>
  <si>
    <t>Seguro de vida, invalidez e funeral</t>
  </si>
  <si>
    <t>Inserir o valor por funcionário no campo I66 se houver previsão na CCT</t>
  </si>
  <si>
    <t>Benefício Social Familiar + PQM</t>
  </si>
  <si>
    <t>Valores =</t>
  </si>
  <si>
    <t>Inserir o valor por funcionário no campo I67 se houver previsão na CCT</t>
  </si>
  <si>
    <t>Auxílio Sáude</t>
  </si>
  <si>
    <t>Soma dos Itens A a E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</si>
  <si>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</si>
  <si>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</si>
  <si>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</si>
  <si>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I46</t>
  </si>
  <si>
    <t>Soma do Total do Módulo 2.2 extraída do Campo J58</t>
  </si>
  <si>
    <t>Soma do Total do Módulo 2.3 extraída do Campo I69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</si>
  <si>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</si>
  <si>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</si>
  <si>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</si>
  <si>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</si>
  <si>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de 1/12 * 0,055 * 0,5624 (Campo I81) x Total da Remuneração (Campo I38)</t>
  </si>
  <si>
    <t>Incidência do FGTS sobre o Aviso Prévio Indenizado</t>
  </si>
  <si>
    <t>Cálculo = Percentual de 8% (Campo I57) x 0,26% do API (Campo I81) x Total da Remuneração (Campo I38)</t>
  </si>
  <si>
    <t>Multa do FGTS e contribuição social sobre o Aviso Prévio Indenizado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</si>
  <si>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</si>
  <si>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Aviso Prévio Trabalhado</t>
  </si>
  <si>
    <t>Cálculo = ((1/30)*7)/12 * 0,5624 * 0,9445 = Percentual de 1,03% (Campo I84) x Total da Remuneração (Campo I38)</t>
  </si>
  <si>
    <t>Incidência dos encargos do submódulo 2.2 sobre o Aviso Prévio Trabalhado</t>
  </si>
  <si>
    <t>Cálculo = Percentual do Submódulo 2.2 (Campo I58) x Percentual do Aviso Prévio Trabalhado (I84) x Total da Remuneração (Campo I38)</t>
  </si>
  <si>
    <t>Multa do FGTS e contribuição social sobre o Aviso Prévio Trabalhado</t>
  </si>
  <si>
    <t>Cálculo = Anexo XII da IN 5/2017: Para os órgãos que trabalham com Conta Vinculada, a soma das Multas do FGTS (itens C + F) deve ser igual a 4%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</si>
  <si>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</si>
  <si>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</si>
  <si>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</si>
  <si>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</si>
  <si>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</si>
  <si>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</si>
  <si>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Calculado de 1,62% (Campo I92) x Total da Remuneração (Campo I38)</t>
  </si>
  <si>
    <t>Substituto na Cobertura das Ausências Legais</t>
  </si>
  <si>
    <t>Cálculo = Percentual Calculado de 2,22% (Campo I93) x Total da Remuneração (Campo I38)</t>
  </si>
  <si>
    <t>Substituto na Cobertura de Licença-Paternidade</t>
  </si>
  <si>
    <t>Cálculo = Percentual Calculado de 0,04% x Total da Remuneração (Campo I38)</t>
  </si>
  <si>
    <t>Substituto na Cobertura das Ausências por Acidente de Trabalho</t>
  </si>
  <si>
    <t>Cálculo = Percentual Calculado de 0,02% x Total da Remuneração (Campo I38)</t>
  </si>
  <si>
    <t>Substituto na Cobertura de Afastamento Maternidade</t>
  </si>
  <si>
    <t>Cálculo = Percentual Calculado de 0,14% x Total da Remuneração (Campo I38)</t>
  </si>
  <si>
    <t>Substituto na Cobertura de Outras Ausências (Especificar) - Ex.: Doenças</t>
  </si>
  <si>
    <t>Cálculo = 5,96 dias/ano IBGE. (5,96 dias/30 dias) x (1/12 meses) = 0,0166 = 1,66% x Total da Remuneração (Campo I38)</t>
  </si>
  <si>
    <t>Submódulo 4.2 - Intrajornada</t>
  </si>
  <si>
    <t>4.2</t>
  </si>
  <si>
    <t>Substituto na Intrajornada</t>
  </si>
  <si>
    <t xml:space="preserve"> </t>
  </si>
  <si>
    <t>Substituto no Intervalo para Repouso ou Alimentação</t>
  </si>
  <si>
    <t>QUADRO RESUMO DO MÓDULO 4 - CUSTO DE REPOSIÇÃO DO PROFISSIONAL AUSENTE</t>
  </si>
  <si>
    <t>Substituto nas Ausência Legais</t>
  </si>
  <si>
    <t>Soma Total do Submódulo 4.1 extraída do Campo J99</t>
  </si>
  <si>
    <t>Soma Total do Submódulo 4.2 extraída do Campo I103</t>
  </si>
  <si>
    <t>MÓDULO 05: INSUMOS DIVERSOS</t>
  </si>
  <si>
    <t>Insumos Diversos</t>
  </si>
  <si>
    <t>Uniformes e EPI's (custo mensal por empregado)</t>
  </si>
  <si>
    <t>Cálculo = Se Houver, calcular o valor total dividir pela quantidade de meses do contrato, utilizando uma memória de cálculo em outra planilha</t>
  </si>
  <si>
    <t>Materiais (custo mensal por empregado)</t>
  </si>
  <si>
    <t>Equipamentos (custo mensal por empregado)</t>
  </si>
  <si>
    <t>Outros (Especificar)</t>
  </si>
  <si>
    <t>MÓDULO 6: CUSTOS INDIRETOS, TRIBUTOS E LUCRO</t>
  </si>
  <si>
    <t>Custos Indiretos, Tributos e Lucro</t>
  </si>
  <si>
    <t>Custos indiretos</t>
  </si>
  <si>
    <t>Cálculo = % (Campo I122) x Módulo 1 a 5 (Campo I139)</t>
  </si>
  <si>
    <t>Lucro</t>
  </si>
  <si>
    <t>Cálculo = % (Campo I123) x (Módulo 1 a 5 (Campo I139) + Custos Indiretos (Campo J122)</t>
  </si>
  <si>
    <t>Tributos</t>
  </si>
  <si>
    <t>C.1</t>
  </si>
  <si>
    <t>Tributos Federais</t>
  </si>
  <si>
    <t>PIS</t>
  </si>
  <si>
    <t>Cálculo = % (Campo I125) x Módulo 1 a 5 (Campo I139) + Custos Indiretos (Campo J122) + Lucro (Campo J123) divido pelo Fator de Divisão, conforme a tributação aplicada (presumido,real,SIMPLES). Dessa forma, encontra-se o faturamento o qual incidirá a alíquota do PIS.</t>
  </si>
  <si>
    <t>C.2</t>
  </si>
  <si>
    <t>COFINS</t>
  </si>
  <si>
    <t>Cálculo = % (Campo I126) x Módulo 1 a 5 (Campo I139) + Custos Indiretos (Campo J122) + Lucro (Campo J123) divido pelo Fator de Divisão, conforme a tributação aplicada (presumido,real,SIMPLES). Dessa forma, encontra-se o faturamento o qual incidirá a alíquota do COFINS.</t>
  </si>
  <si>
    <t>C.3</t>
  </si>
  <si>
    <t>Tibutos Municipais</t>
  </si>
  <si>
    <t>ISS</t>
  </si>
  <si>
    <t>Cálculo = % (Campo I127) x Módulo 1 a 5 (Campo I139) + Custos Indiretos (Campo J122) + Lucro (Campo J123) divido pelo Fator de Divisão, conforme a tributação aplicada (presumido,real,SIMPLES). Dessa forma, encontra-se o faturamento o qual incidirá a alíquota do ISS.</t>
  </si>
  <si>
    <t>C.4</t>
  </si>
  <si>
    <t>Outros Tributos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</si>
  <si>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</si>
  <si>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</si>
  <si>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</si>
  <si>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I38</t>
  </si>
  <si>
    <t>Módulo 2 - Encargos e Benefícios Anuais, Mensais e Diários</t>
  </si>
  <si>
    <t>Cálculo = Soma do Módulo 2 extraído do Campo I77</t>
  </si>
  <si>
    <t>Módulo 3 - Provisão para rescisão</t>
  </si>
  <si>
    <t>Cálculo = Soma do Módulo 3 extraído do Campo I87</t>
  </si>
  <si>
    <t>Módulo 4 – Custo de Reposição do Profissional Ausente</t>
  </si>
  <si>
    <t>Cálculo = Soma do Módulo 4 extraído do Campo I110</t>
  </si>
  <si>
    <t>Módulo 5 – Insumos Diversos</t>
  </si>
  <si>
    <t>Cálculo = Soma do Módulo 5 extraído do Campo I118</t>
  </si>
  <si>
    <t>SUBTOTAL (A+B+C+D+E)</t>
  </si>
  <si>
    <t>Módulo 6 – Custos indiretos, tributos e lucro</t>
  </si>
  <si>
    <t>Cálculo = Soma do Módulo 6 extraído do Campo J129</t>
  </si>
  <si>
    <t>VALOR TOTAL POR EMPREGADO</t>
  </si>
  <si>
    <t>Soma dos Itens A a E + F</t>
  </si>
  <si>
    <t>QUADRO RESUMO - VALOR MENSAL DOS SERVIÇOS</t>
  </si>
  <si>
    <t>Tipo de Serviço (A)</t>
  </si>
  <si>
    <t>Valor Proposto por Empregado (B)</t>
  </si>
  <si>
    <t>Qtde. de Empregados por Posto (C )</t>
  </si>
  <si>
    <t>Valor Proposto por Posto (D) = (B x C)</t>
  </si>
  <si>
    <t>Qtde. de Postos (E)</t>
  </si>
  <si>
    <t>Valor Total do Serviço           (F) = (D x E)</t>
  </si>
  <si>
    <t>Valor mensal dos serviços</t>
  </si>
  <si>
    <t>Valor Mensal estimado dos produtos/materiais (Os produtos/materiais serão pagos pelo efetivo requisitado e entregues no mês).</t>
  </si>
  <si>
    <t>VALOR ESTIMADO MENSAL DA CONTRATAÇÃO</t>
  </si>
  <si>
    <t>QUADRO DEMONSTRATIVO DO VALOR GLOBAL DA PROPOSTA</t>
  </si>
  <si>
    <t>VALOR GLOBAL DA PROPOSTA</t>
  </si>
  <si>
    <t xml:space="preserve">DESCRIÇÃO </t>
  </si>
  <si>
    <t>VALOR</t>
  </si>
  <si>
    <t>Valor mensal do serviço</t>
  </si>
  <si>
    <t>Número de meses de execução contratual</t>
  </si>
  <si>
    <t>Valor global da proposta (Valor Mensal x Meses de Execução)</t>
  </si>
  <si>
    <t>SERVENTE DE LIMPEZA - ÁREA EXTERNA</t>
  </si>
  <si>
    <t>5142-25</t>
  </si>
  <si>
    <t>Serv. de Limp. Externa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</si>
  <si>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</si>
  <si>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Cálculo = Percentual de 1,62% (Campo I92) x Total da Remuneração (Campo I38)</t>
  </si>
  <si>
    <t>AGENTE DE LIMPEZA E DESINFECÇÃO</t>
  </si>
  <si>
    <t>Ag. de Limp. e Desinf.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</si>
  <si>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</si>
  <si>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AGENTE DE COLETA</t>
  </si>
  <si>
    <t>Agente de Coleta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</si>
  <si>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</si>
  <si>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COPEIRO</t>
  </si>
  <si>
    <t>5134-25</t>
  </si>
  <si>
    <t>Copeiro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</si>
  <si>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</si>
  <si>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JARDINEIRO</t>
  </si>
  <si>
    <t>Jardineiro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</si>
  <si>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</si>
  <si>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JARDINEIRO PODADOR</t>
  </si>
  <si>
    <t>Jardineiro Podador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</si>
  <si>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</si>
  <si>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LAVADOR DE VEÍCULOS</t>
  </si>
  <si>
    <t>5199-35</t>
  </si>
  <si>
    <t>Lavador de Veículos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</si>
  <si>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</si>
  <si>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OPERADOR DE PÁ CARREGADEIRA E TRATORES</t>
  </si>
  <si>
    <t>7151-35</t>
  </si>
  <si>
    <t>Operador de Pá e Tratores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</si>
  <si>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</si>
  <si>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MOTORISTA DE COLETA</t>
  </si>
  <si>
    <t>Motorista de Coleta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</si>
  <si>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</si>
  <si>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SUPERVISOR</t>
  </si>
  <si>
    <t>Supervisor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</si>
  <si>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</si>
  <si>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 xml:space="preserve">RESUMO </t>
  </si>
  <si>
    <t>ITEM</t>
  </si>
  <si>
    <t>FUNÇÃO</t>
  </si>
  <si>
    <t xml:space="preserve">UNIFORMES/ EPI"s </t>
  </si>
  <si>
    <t xml:space="preserve">MATERIAIS </t>
  </si>
  <si>
    <t xml:space="preserve">EQUIPAMENTOS </t>
  </si>
  <si>
    <t>SERVENTE DE LIMPEZA – ÁREA EXTERNA</t>
  </si>
  <si>
    <t>AGENTE DE LIMPEZA E DESINFECÇÃO (INSALUBRIDADE 40%)</t>
  </si>
  <si>
    <t>AGENTE DE COLETA (INSALUBRIDADE 40%)</t>
  </si>
  <si>
    <t xml:space="preserve">COPEIRO </t>
  </si>
  <si>
    <t>JARDINEIRO/PODADOR (PERICULOSIDADE 30%)</t>
  </si>
  <si>
    <t>LAVADOR DE VEÍCULOS (INSALUBRIDADE 20%)</t>
  </si>
  <si>
    <t>OPERADOR DE PÁ CARREGADEIRA E TRATORES (INSALUBRIDADE 20%)</t>
  </si>
  <si>
    <t>MOTORISTA DE COLETA (INSALUBRIDADE 40%)</t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</si>
  <si>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AUXILIAR DE LIMPEZA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</si>
  <si>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AGENTE DE LIMPEZA E DESINFECÇÃO INSALUBRIDADE 40%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</si>
  <si>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JARDINEIRO</t>
    </r>
  </si>
  <si>
    <t>SALÁRIO BASE DA CATEGORIA</t>
  </si>
  <si>
    <t>INSALUBRIDADE</t>
  </si>
  <si>
    <t>VALOR DA HORA BASE</t>
  </si>
  <si>
    <t>Encargos Sociais e Trab.</t>
  </si>
  <si>
    <t>Custos Indiretos</t>
  </si>
  <si>
    <t>VALOR DA HORA BASE (ACRESCIDO DE TRIBUTOS)</t>
  </si>
  <si>
    <t>Quant. Estimada Anual de 30 horas extras - 50%</t>
  </si>
  <si>
    <t>Quant. Estimada Anual de 20 horas extras - 50%</t>
  </si>
  <si>
    <t>Quant. Estimada Anual de 20 horas extras - 100%</t>
  </si>
  <si>
    <t>Quant. Estimada Anual de 30 horas extras - 100%</t>
  </si>
  <si>
    <t>Quant. Estimada Anual de 10 horas de Adicional Noturno - 25%</t>
  </si>
  <si>
    <t>Quant. Estimada Anual de 0 horas de Adicional Noturno - 25%</t>
  </si>
  <si>
    <t>VALOR TOTAL ESTIMADO - ANUAL</t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</si>
  <si>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AGENTE DE COLETA INSALUBRIDADE 40%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</si>
  <si>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SERVENTE DE LIMPEZA -ÁREA EXTERNA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</si>
  <si>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JARDINEIRO COM PERICULOSIDADE</t>
    </r>
  </si>
  <si>
    <t>PERICULOSIDADE</t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</si>
  <si>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COPEIRO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</si>
  <si>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OPERADOR DE PÁ CARREGADEIRA E TRATORES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</si>
  <si>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SUPERVISOR</t>
    </r>
  </si>
  <si>
    <t>Quant. Estimada Anual de 10 horas extras - 50%</t>
  </si>
  <si>
    <t>Quant. Estimada Anual de 10 horas extras - 100%</t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</si>
  <si>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MOTORISTA DE COLETA INSALUBRIDADE 40%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</si>
  <si>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LAVADOR DE VEÍCULOS</t>
    </r>
  </si>
  <si>
    <r>
      <rPr>
        <sz val="11"/>
        <color theme="0"/>
        <rFont val="Times New Roman"/>
      </rPr>
      <t>VALOR ESTIMADO PARA COBERTURA DAS DESPESAS COM HORAS EXTRAS E ADICIONAL NOTURNO</t>
    </r>
    <r>
      <rPr>
        <b/>
        <sz val="11"/>
        <color theme="0"/>
        <rFont val="Times New Roman"/>
      </rPr>
      <t xml:space="preserve"> - </t>
    </r>
  </si>
  <si>
    <t>Quant. Estimada Anual de 0 horas extras - 50%</t>
  </si>
  <si>
    <t>Quant. Estimada Anual de 12 horas extras - 50%</t>
  </si>
  <si>
    <t>Quant. Estimada Anual de 0 horas extras - 100%</t>
  </si>
  <si>
    <t>Quant. Estimada Anual de 12 horas extras - 100%</t>
  </si>
  <si>
    <t>Quant. Estimada Anual de 12 horas de Adicional Noturno - 25%</t>
  </si>
  <si>
    <t>TOTAL DESPESAS COM HORAS EXTRAS E ADICIONAL NOTURNO ANUAL</t>
  </si>
  <si>
    <t>e</t>
  </si>
  <si>
    <t>CUSTOS DE UNIFORMES</t>
  </si>
  <si>
    <t xml:space="preserve"> Auxiliar de Limpeza, Agente de Limpeza e Desinfecção </t>
  </si>
  <si>
    <t xml:space="preserve"> Agente de Coleta, Jardineiros, Servente de Limpeza – Área Externa, Operador de Pá Carregadeira e Tratores e Motorista de Coleta</t>
  </si>
  <si>
    <t>Descrição</t>
  </si>
  <si>
    <t>Valor Total</t>
  </si>
  <si>
    <t>calça</t>
  </si>
  <si>
    <t>camisa</t>
  </si>
  <si>
    <t>touca</t>
  </si>
  <si>
    <t>par de meias</t>
  </si>
  <si>
    <t>TOTAL GERAL</t>
  </si>
  <si>
    <t>CUSTO UNITÁTIO MENSAL POR 1</t>
  </si>
  <si>
    <t>Copeira</t>
  </si>
  <si>
    <t>Jaleco</t>
  </si>
  <si>
    <t>CUSTOS DE EPI"s</t>
  </si>
  <si>
    <t xml:space="preserve"> Auxiliar de Limpeza</t>
  </si>
  <si>
    <t xml:space="preserve">Bota cano curto </t>
  </si>
  <si>
    <t xml:space="preserve">Bota de borracha/PVC </t>
  </si>
  <si>
    <t>Luva Nitrílica</t>
  </si>
  <si>
    <t>Máscara PFF1-P1</t>
  </si>
  <si>
    <t>Protetor Solar Fator 50 FPS</t>
  </si>
  <si>
    <t>AGENTE DE LIMPEZA E DESINFECÇÃO E AGENTE DE COLETA</t>
  </si>
  <si>
    <t xml:space="preserve">Óculos de segurança </t>
  </si>
  <si>
    <t xml:space="preserve">Luva nitrílica </t>
  </si>
  <si>
    <t>Máscara N95 com válvula</t>
  </si>
  <si>
    <t>JARDINEIROS E SERVENTE DE LIMPEZA – ÁREA EXTERNA</t>
  </si>
  <si>
    <t xml:space="preserve">Calçado de segurança </t>
  </si>
  <si>
    <t>Capacete de segurança</t>
  </si>
  <si>
    <t>Perneira de raspa de couro</t>
  </si>
  <si>
    <t xml:space="preserve">Luva de segurança </t>
  </si>
  <si>
    <t>Cinta Ergonômica</t>
  </si>
  <si>
    <t xml:space="preserve">Protetor Solar </t>
  </si>
  <si>
    <t>Conjunto para aplicação de defensivos</t>
  </si>
  <si>
    <t xml:space="preserve">Sapato de Segurança </t>
  </si>
  <si>
    <t>Bota de borracha/PVC</t>
  </si>
  <si>
    <t xml:space="preserve">Protetor solar </t>
  </si>
  <si>
    <t xml:space="preserve">Protetor auditivo </t>
  </si>
  <si>
    <t xml:space="preserve">Capacete de segurança </t>
  </si>
  <si>
    <t>Calçado de segurança</t>
  </si>
  <si>
    <t>COPEIRA</t>
  </si>
  <si>
    <t xml:space="preserve">Avental em PVC </t>
  </si>
  <si>
    <t xml:space="preserve">Calçado ocupacional </t>
  </si>
  <si>
    <t xml:space="preserve">Protetor auricular </t>
  </si>
  <si>
    <t>Máscara tipo PFF 2</t>
  </si>
  <si>
    <t xml:space="preserve">Máscara N95 </t>
  </si>
  <si>
    <t>CUSTOS DE FERRAMENTA E EQUIPAMENTOS</t>
  </si>
  <si>
    <t>Quantidade (anual)</t>
  </si>
  <si>
    <t xml:space="preserve">VALOR TOTAL COM DEPRECIAÇÃO -  (20%) </t>
  </si>
  <si>
    <t xml:space="preserve">Máquina roçadeira </t>
  </si>
  <si>
    <t xml:space="preserve">Podador a combustão </t>
  </si>
  <si>
    <t>Tesourão para poda</t>
  </si>
  <si>
    <t xml:space="preserve">Tesoura de poda </t>
  </si>
  <si>
    <t xml:space="preserve">Facão para corte de mato </t>
  </si>
  <si>
    <t xml:space="preserve">Machado forjado </t>
  </si>
  <si>
    <t xml:space="preserve">Ancinho curvo </t>
  </si>
  <si>
    <t xml:space="preserve">Pá quadrada </t>
  </si>
  <si>
    <t xml:space="preserve">Pá de bico </t>
  </si>
  <si>
    <t>Forcado</t>
  </si>
  <si>
    <t xml:space="preserve">Carrinho de mão </t>
  </si>
  <si>
    <t xml:space="preserve">Serrote para poda </t>
  </si>
  <si>
    <t xml:space="preserve">Lima para afiar serrote </t>
  </si>
  <si>
    <t>Lima para afiação de corrente de motosserras</t>
  </si>
  <si>
    <t xml:space="preserve">Pedra de afiar gadanha </t>
  </si>
  <si>
    <t>Escada extensiva</t>
  </si>
  <si>
    <t xml:space="preserve">Escada articulada </t>
  </si>
  <si>
    <t>Motosserra</t>
  </si>
  <si>
    <t xml:space="preserve">Podador de galhos </t>
  </si>
  <si>
    <t xml:space="preserve">Tesoura de poda pequena </t>
  </si>
  <si>
    <t>Pulverizador costal</t>
  </si>
  <si>
    <t xml:space="preserve">Picareta chibanca </t>
  </si>
  <si>
    <t>Cavadeira</t>
  </si>
  <si>
    <t xml:space="preserve">Estrovenga metálica </t>
  </si>
  <si>
    <t>Alavanca em aço</t>
  </si>
  <si>
    <t>Soprador</t>
  </si>
  <si>
    <t>Carrinho de cortar grama</t>
  </si>
  <si>
    <t xml:space="preserve">Protetor de roçagem </t>
  </si>
  <si>
    <t xml:space="preserve">Carrinho de Gari 100 Lts </t>
  </si>
  <si>
    <t>Motopodador</t>
  </si>
  <si>
    <t>Triturador de galhos</t>
  </si>
  <si>
    <t>Lava jato</t>
  </si>
  <si>
    <t xml:space="preserve">Extensão Elétrica </t>
  </si>
  <si>
    <t>CUSTO UNITÁTIO MENSAL POR  POSTO</t>
  </si>
  <si>
    <t>AUXILIAR DE LIMPEZA E AGENTE DE LIMPEZA E DESINFECÇÃO</t>
  </si>
  <si>
    <t xml:space="preserve">Balde MOP </t>
  </si>
  <si>
    <t xml:space="preserve">Kit Esfregão MOP </t>
  </si>
  <si>
    <t xml:space="preserve">Aspirador de pó profissional </t>
  </si>
  <si>
    <t xml:space="preserve">Escada de alumínio dobrável </t>
  </si>
  <si>
    <t>CUSTOS DE FERRAMENTA E EQUIPAMENTOS - PONTO BIOMÉTRICO</t>
  </si>
  <si>
    <t>COMUM A TODOS OS CARGOS</t>
  </si>
  <si>
    <t>PONTO BIOMÉTRICO</t>
  </si>
  <si>
    <t>VEÍCULO TIPO MOTOCICLETA</t>
  </si>
  <si>
    <t>CUSTOS DE MATERIAIS</t>
  </si>
  <si>
    <t>Água Sanitária (5L)</t>
  </si>
  <si>
    <t>Desinfetante (5L)</t>
  </si>
  <si>
    <t>Detergente Líquido (5L)</t>
  </si>
  <si>
    <t>Sabão em pó (1kg)</t>
  </si>
  <si>
    <t>Desodorizador de Vaso (25g) com rede e gancho de sustentação</t>
  </si>
  <si>
    <t>Sáponaceo Cremoso (250 a 300 ML)</t>
  </si>
  <si>
    <t>Palha de aço (pacote 60g)</t>
  </si>
  <si>
    <t>Saco de Lixo 250 L (reforçado)</t>
  </si>
  <si>
    <t>Saco de Lixo 100L (reforçado)</t>
  </si>
  <si>
    <t>Saco de Lixo 30L (reforçado)</t>
  </si>
  <si>
    <t>Saco de Lixo 60L</t>
  </si>
  <si>
    <t>PAPEL TOALHA - 20 X21 CM - PACOTE COM 1000 FOLHAS</t>
  </si>
  <si>
    <t>Escova multiuso com cabo</t>
  </si>
  <si>
    <t>ESTOPA PARA LIMPEZA</t>
  </si>
  <si>
    <t>PAPEL HIGIÊNICO 10CM X 500M</t>
  </si>
  <si>
    <t>PANO MULTIUSO - 33 X 58 CM</t>
  </si>
  <si>
    <t>SABÃO EM BARRA - 1 KG</t>
  </si>
  <si>
    <t>SABONETE LÍQUIDO - GALÃO DE 5 LITROS</t>
  </si>
  <si>
    <t xml:space="preserve">Pá de plástico para lixo </t>
  </si>
  <si>
    <t xml:space="preserve">Vassoura de nylon </t>
  </si>
  <si>
    <t>Vassoura de Palha</t>
  </si>
  <si>
    <t xml:space="preserve">Rodo de 40 cm </t>
  </si>
  <si>
    <t>Rodo 60 cm</t>
  </si>
  <si>
    <t>Rodo para pia</t>
  </si>
  <si>
    <t>Vassoura reforçada para limpeza de vaso sanitário</t>
  </si>
  <si>
    <t>Borrifador</t>
  </si>
  <si>
    <t>Haste (garra) Plástica para MOP</t>
  </si>
  <si>
    <t>Refil MOP úmido</t>
  </si>
  <si>
    <t xml:space="preserve">Vassoura limpa teto </t>
  </si>
  <si>
    <t>Flanela (33x58 cm)</t>
  </si>
  <si>
    <t>Esponja mulituso dupla face</t>
  </si>
  <si>
    <t>Pano de chão (60x80cm) 100% algodão</t>
  </si>
  <si>
    <t xml:space="preserve">Rodo limpa vidro </t>
  </si>
  <si>
    <t>Rodo Limpa Vidros Dupla Função</t>
  </si>
  <si>
    <t>Raspador multiuso</t>
  </si>
  <si>
    <t>Shampoo automotivo 5L</t>
  </si>
  <si>
    <t>DETERGENTE AUTOMOTIVO - 500 ML</t>
  </si>
  <si>
    <t>CERA AUTOMOTIVA EMBALAGEM 200 GRAMAS</t>
  </si>
  <si>
    <t xml:space="preserve">Fio nylon </t>
  </si>
  <si>
    <t>Gasolina comum</t>
  </si>
  <si>
    <t>Óleo para motor da roçadeira</t>
  </si>
  <si>
    <t xml:space="preserve">Vassoura metálica </t>
  </si>
  <si>
    <t xml:space="preserve">Vassourão de gari </t>
  </si>
  <si>
    <t>Corda de seda de nylon</t>
  </si>
  <si>
    <t>Broxa para pintura</t>
  </si>
  <si>
    <t xml:space="preserve">Balde para pintura </t>
  </si>
  <si>
    <t xml:space="preserve">Mangueira para jardim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</si>
</sst>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R$&quot;\ #,##0.00;[Red]\-&quot;R$&quot;\ #,##0.00"/>
    <numFmt numFmtId="164" formatCode="_-&quot;R$ &quot;* #,##0.00_-;&quot;-R$ &quot;* #,##0.00_-;_-&quot;R$ &quot;* \-??_-;_-@"/>
    <numFmt numFmtId="165" formatCode="&quot;R$&quot;\ #,##0.00"/>
    <numFmt numFmtId="166" formatCode="&quot;R$ &quot;#,##0.00"/>
    <numFmt numFmtId="167" formatCode="_-* #,##0.00_-;\-* #,##0.00_-;_-* \-??_-;_-@"/>
    <numFmt numFmtId="168" formatCode="_-* #,##0.00_-;\-* #,##0.00_-;_-* &quot;-&quot;??_-;_-@"/>
    <numFmt numFmtId="169" formatCode="0.0"/>
    <numFmt numFmtId="170" formatCode="_(&quot;R$ &quot;* #,##0.00_);_(&quot;R$ &quot;* \(#,##0.00\);_(&quot;R$ &quot;* &quot;-&quot;??_);_(@_)"/>
    <numFmt numFmtId="171" formatCode="_-* #,##0.000_-;\-* #,##0.000_-;_-* &quot;-&quot;??_-;_-@"/>
    <numFmt numFmtId="172" formatCode="_-* #,##0_-;\-* #,##0_-;_-* \-??_-;_-@"/>
    <numFmt numFmtId="173" formatCode="yyyy\-mm"/>
    <numFmt numFmtId="174" formatCode="yyyy\-m"/>
    <numFmt numFmtId="175" formatCode="&quot;R$&quot;\ #,##0.000"/>
    <numFmt numFmtId="176" formatCode="&quot;R$&quot;\ #,##0.000;[Red]\-&quot;R$&quot;\ #,##0.000"/>
  </numFmts>
  <fonts count="34">
    <font>
      <sz val="11"/>
      <color rgb="FF000000"/>
      <name val="Calibri"/>
      <scheme val="minor"/>
    </font>
    <font>
      <sz val="10"/>
      <color rgb="FF000000"/>
      <name val="Arial"/>
    </font>
    <font>
      <b/>
      <sz val="10"/>
      <color theme="1"/>
      <name val="Arial"/>
    </font>
    <font>
      <sz val="11"/>
      <name val="Calibri"/>
    </font>
    <font>
      <b/>
      <sz val="10"/>
      <color theme="0"/>
      <name val="Arial"/>
    </font>
    <font>
      <b/>
      <sz val="10"/>
      <color rgb="FF000000"/>
      <name val="Arial"/>
    </font>
    <font>
      <b/>
      <sz val="12"/>
      <color theme="0"/>
      <name val="Arial"/>
    </font>
    <font>
      <b/>
      <i/>
      <sz val="10"/>
      <color rgb="FF000000"/>
      <name val="Arial"/>
    </font>
    <font>
      <sz val="10"/>
      <color theme="1"/>
      <name val="Arial"/>
    </font>
    <font>
      <sz val="10"/>
      <color rgb="FFFF0000"/>
      <name val="Arial"/>
    </font>
    <font>
      <b/>
      <sz val="9"/>
      <color theme="1"/>
      <name val="Arial"/>
    </font>
    <font>
      <i/>
      <sz val="9"/>
      <color theme="1"/>
      <name val="Arial"/>
    </font>
    <font>
      <sz val="9"/>
      <color theme="1"/>
      <name val="Arial"/>
    </font>
    <font>
      <sz val="10"/>
      <color theme="0"/>
      <name val="Arial"/>
    </font>
    <font>
      <b/>
      <sz val="10"/>
      <color rgb="FFFF0000"/>
      <name val="Arial"/>
    </font>
    <font>
      <b/>
      <i/>
      <sz val="10"/>
      <color theme="1"/>
      <name val="Arial"/>
    </font>
    <font>
      <b/>
      <i/>
      <sz val="10"/>
      <color rgb="FFFF0000"/>
      <name val="Arial"/>
    </font>
    <font>
      <b/>
      <u/>
      <sz val="10"/>
      <color theme="1"/>
      <name val="Arial"/>
    </font>
    <font>
      <u/>
      <sz val="10"/>
      <color theme="1"/>
      <name val="Arial"/>
    </font>
    <font>
      <b/>
      <u/>
      <sz val="10"/>
      <color theme="1"/>
      <name val="Arial"/>
    </font>
    <font>
      <b/>
      <i/>
      <u/>
      <sz val="10"/>
      <color theme="0"/>
      <name val="Arial"/>
    </font>
    <font>
      <sz val="11"/>
      <color theme="1"/>
      <name val="Calibri"/>
    </font>
    <font>
      <sz val="12"/>
      <color theme="1"/>
      <name val="Calibri"/>
    </font>
    <font>
      <b/>
      <sz val="10"/>
      <color theme="0"/>
      <name val="Times New Roman"/>
    </font>
    <font>
      <sz val="11"/>
      <color theme="1"/>
      <name val="Times New Roman"/>
    </font>
    <font>
      <sz val="11"/>
      <color rgb="FFFF0000"/>
      <name val="Times New Roman"/>
    </font>
    <font>
      <b/>
      <sz val="10"/>
      <color rgb="FF000000"/>
      <name val="Times New Roman"/>
    </font>
    <font>
      <sz val="11"/>
      <color theme="1"/>
      <name val="Arial"/>
    </font>
    <font>
      <b/>
      <sz val="10"/>
      <color rgb="FFFFFFFF"/>
      <name val="Arial"/>
    </font>
    <font>
      <sz val="12"/>
      <color rgb="FFFF0000"/>
      <name val="Calibri"/>
    </font>
    <font>
      <sz val="11"/>
      <color rgb="FFFF0000"/>
      <name val="Calibri"/>
    </font>
    <font>
      <u/>
      <sz val="10"/>
      <color rgb="FF000000"/>
      <name val="Arial"/>
    </font>
    <font>
      <sz val="11"/>
      <color theme="0"/>
      <name val="Times New Roman"/>
    </font>
    <font>
      <b/>
      <sz val="11"/>
      <color theme="0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rgb="FF99CC33"/>
        <bgColor rgb="FF99CC33"/>
      </patternFill>
    </fill>
    <fill>
      <patternFill patternType="solid">
        <fgColor rgb="FF243E6A"/>
        <bgColor rgb="FF243E6A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274">
    <xf numFmtId="0" fontId="0" fillId="0" borderId="0" xfId="0" applyFont="1" applyAlignment="1"/>
    <xf numFmtId="0" fontId="1" fillId="0" borderId="0" xfId="0" applyFont="1"/>
    <xf numFmtId="0" fontId="4" fillId="3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/>
    </xf>
    <xf numFmtId="0" fontId="1" fillId="5" borderId="8" xfId="0" applyFont="1" applyFill="1" applyBorder="1"/>
    <xf numFmtId="0" fontId="1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right" vertical="center"/>
    </xf>
    <xf numFmtId="0" fontId="8" fillId="5" borderId="8" xfId="0" applyFont="1" applyFill="1" applyBorder="1"/>
    <xf numFmtId="0" fontId="8" fillId="5" borderId="14" xfId="0" applyFont="1" applyFill="1" applyBorder="1"/>
    <xf numFmtId="0" fontId="8" fillId="0" borderId="0" xfId="0" applyFont="1"/>
    <xf numFmtId="0" fontId="2" fillId="5" borderId="8" xfId="0" applyFont="1" applyFill="1" applyBorder="1"/>
    <xf numFmtId="0" fontId="8" fillId="5" borderId="8" xfId="0" applyFont="1" applyFill="1" applyBorder="1" applyAlignment="1">
      <alignment horizontal="left" vertical="center"/>
    </xf>
    <xf numFmtId="0" fontId="5" fillId="5" borderId="8" xfId="0" applyFont="1" applyFill="1" applyBorder="1"/>
    <xf numFmtId="0" fontId="1" fillId="5" borderId="15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5" borderId="18" xfId="0" applyFont="1" applyFill="1" applyBorder="1"/>
    <xf numFmtId="0" fontId="1" fillId="5" borderId="19" xfId="0" applyFont="1" applyFill="1" applyBorder="1"/>
    <xf numFmtId="0" fontId="5" fillId="5" borderId="18" xfId="0" applyFont="1" applyFill="1" applyBorder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4" fontId="1" fillId="5" borderId="8" xfId="0" applyNumberFormat="1" applyFont="1" applyFill="1" applyBorder="1"/>
    <xf numFmtId="0" fontId="5" fillId="4" borderId="8" xfId="0" applyFont="1" applyFill="1" applyBorder="1" applyAlignment="1">
      <alignment horizontal="left"/>
    </xf>
    <xf numFmtId="0" fontId="4" fillId="3" borderId="15" xfId="0" applyFont="1" applyFill="1" applyBorder="1" applyAlignment="1">
      <alignment horizontal="center"/>
    </xf>
    <xf numFmtId="166" fontId="5" fillId="4" borderId="8" xfId="0" applyNumberFormat="1" applyFont="1" applyFill="1" applyBorder="1" applyAlignment="1">
      <alignment horizontal="center"/>
    </xf>
    <xf numFmtId="167" fontId="8" fillId="5" borderId="8" xfId="0" applyNumberFormat="1" applyFont="1" applyFill="1" applyBorder="1"/>
    <xf numFmtId="0" fontId="9" fillId="5" borderId="8" xfId="0" applyFont="1" applyFill="1" applyBorder="1"/>
    <xf numFmtId="0" fontId="8" fillId="0" borderId="15" xfId="0" applyFont="1" applyBorder="1" applyAlignment="1">
      <alignment horizontal="center"/>
    </xf>
    <xf numFmtId="0" fontId="8" fillId="5" borderId="18" xfId="0" applyFont="1" applyFill="1" applyBorder="1"/>
    <xf numFmtId="0" fontId="8" fillId="5" borderId="19" xfId="0" applyFont="1" applyFill="1" applyBorder="1"/>
    <xf numFmtId="0" fontId="8" fillId="5" borderId="4" xfId="0" applyFont="1" applyFill="1" applyBorder="1" applyAlignment="1">
      <alignment horizontal="center"/>
    </xf>
    <xf numFmtId="9" fontId="1" fillId="0" borderId="4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164" fontId="1" fillId="0" borderId="4" xfId="0" applyNumberFormat="1" applyFont="1" applyBorder="1"/>
    <xf numFmtId="0" fontId="1" fillId="5" borderId="8" xfId="0" applyFont="1" applyFill="1" applyBorder="1" applyAlignment="1">
      <alignment horizontal="left"/>
    </xf>
    <xf numFmtId="164" fontId="9" fillId="0" borderId="0" xfId="0" applyNumberFormat="1" applyFont="1" applyAlignment="1">
      <alignment horizontal="left"/>
    </xf>
    <xf numFmtId="0" fontId="8" fillId="5" borderId="28" xfId="0" applyFont="1" applyFill="1" applyBorder="1" applyAlignment="1">
      <alignment horizontal="center"/>
    </xf>
    <xf numFmtId="165" fontId="1" fillId="5" borderId="8" xfId="0" applyNumberFormat="1" applyFont="1" applyFill="1" applyBorder="1"/>
    <xf numFmtId="164" fontId="1" fillId="0" borderId="0" xfId="0" applyNumberFormat="1" applyFont="1" applyAlignment="1">
      <alignment horizontal="left"/>
    </xf>
    <xf numFmtId="164" fontId="5" fillId="4" borderId="8" xfId="0" applyNumberFormat="1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4" fillId="3" borderId="31" xfId="0" applyFont="1" applyFill="1" applyBorder="1"/>
    <xf numFmtId="10" fontId="1" fillId="0" borderId="4" xfId="0" applyNumberFormat="1" applyFont="1" applyBorder="1" applyAlignment="1">
      <alignment horizontal="center"/>
    </xf>
    <xf numFmtId="164" fontId="1" fillId="0" borderId="31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/>
    </xf>
    <xf numFmtId="10" fontId="8" fillId="0" borderId="4" xfId="0" applyNumberFormat="1" applyFont="1" applyBorder="1" applyAlignment="1">
      <alignment horizontal="center"/>
    </xf>
    <xf numFmtId="164" fontId="8" fillId="0" borderId="31" xfId="0" applyNumberFormat="1" applyFont="1" applyBorder="1" applyAlignment="1">
      <alignment horizontal="center"/>
    </xf>
    <xf numFmtId="164" fontId="1" fillId="0" borderId="31" xfId="0" applyNumberFormat="1" applyFont="1" applyBorder="1" applyAlignment="1">
      <alignment horizontal="left"/>
    </xf>
    <xf numFmtId="168" fontId="1" fillId="5" borderId="8" xfId="0" applyNumberFormat="1" applyFont="1" applyFill="1" applyBorder="1"/>
    <xf numFmtId="0" fontId="8" fillId="0" borderId="1" xfId="0" applyFont="1" applyBorder="1"/>
    <xf numFmtId="0" fontId="8" fillId="0" borderId="2" xfId="0" applyFont="1" applyBorder="1"/>
    <xf numFmtId="0" fontId="8" fillId="0" borderId="4" xfId="0" applyFont="1" applyBorder="1" applyAlignment="1">
      <alignment horizontal="center"/>
    </xf>
    <xf numFmtId="169" fontId="8" fillId="0" borderId="4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0" fontId="1" fillId="0" borderId="3" xfId="0" applyNumberFormat="1" applyFont="1" applyBorder="1" applyAlignment="1">
      <alignment horizontal="center"/>
    </xf>
    <xf numFmtId="164" fontId="8" fillId="0" borderId="31" xfId="0" applyNumberFormat="1" applyFont="1" applyBorder="1" applyAlignment="1">
      <alignment horizontal="left"/>
    </xf>
    <xf numFmtId="10" fontId="1" fillId="0" borderId="0" xfId="0" applyNumberFormat="1" applyFont="1" applyAlignment="1">
      <alignment horizontal="center"/>
    </xf>
    <xf numFmtId="10" fontId="4" fillId="3" borderId="4" xfId="0" applyNumberFormat="1" applyFont="1" applyFill="1" applyBorder="1" applyAlignment="1">
      <alignment horizontal="center"/>
    </xf>
    <xf numFmtId="164" fontId="4" fillId="3" borderId="31" xfId="0" applyNumberFormat="1" applyFont="1" applyFill="1" applyBorder="1" applyAlignment="1">
      <alignment horizontal="left"/>
    </xf>
    <xf numFmtId="0" fontId="5" fillId="4" borderId="8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1" fillId="5" borderId="41" xfId="0" applyFont="1" applyFill="1" applyBorder="1"/>
    <xf numFmtId="170" fontId="2" fillId="5" borderId="42" xfId="0" applyNumberFormat="1" applyFont="1" applyFill="1" applyBorder="1" applyAlignment="1">
      <alignment horizontal="center"/>
    </xf>
    <xf numFmtId="0" fontId="11" fillId="5" borderId="41" xfId="0" applyFont="1" applyFill="1" applyBorder="1" applyAlignment="1">
      <alignment horizontal="center"/>
    </xf>
    <xf numFmtId="170" fontId="2" fillId="5" borderId="43" xfId="0" applyNumberFormat="1" applyFont="1" applyFill="1" applyBorder="1" applyAlignment="1">
      <alignment horizontal="center"/>
    </xf>
    <xf numFmtId="0" fontId="11" fillId="5" borderId="41" xfId="0" applyFont="1" applyFill="1" applyBorder="1" applyAlignment="1">
      <alignment horizontal="left"/>
    </xf>
    <xf numFmtId="0" fontId="11" fillId="5" borderId="15" xfId="0" applyFont="1" applyFill="1" applyBorder="1"/>
    <xf numFmtId="0" fontId="10" fillId="5" borderId="18" xfId="0" applyFont="1" applyFill="1" applyBorder="1" applyAlignment="1">
      <alignment horizontal="right"/>
    </xf>
    <xf numFmtId="171" fontId="10" fillId="5" borderId="31" xfId="0" applyNumberFormat="1" applyFont="1" applyFill="1" applyBorder="1" applyAlignment="1">
      <alignment horizontal="right"/>
    </xf>
    <xf numFmtId="0" fontId="11" fillId="5" borderId="47" xfId="0" applyFont="1" applyFill="1" applyBorder="1"/>
    <xf numFmtId="170" fontId="2" fillId="5" borderId="48" xfId="0" applyNumberFormat="1" applyFont="1" applyFill="1" applyBorder="1" applyAlignment="1">
      <alignment horizontal="center"/>
    </xf>
    <xf numFmtId="170" fontId="2" fillId="5" borderId="49" xfId="0" applyNumberFormat="1" applyFont="1" applyFill="1" applyBorder="1"/>
    <xf numFmtId="164" fontId="8" fillId="8" borderId="8" xfId="0" applyNumberFormat="1" applyFont="1" applyFill="1" applyBorder="1" applyAlignment="1">
      <alignment horizontal="left"/>
    </xf>
    <xf numFmtId="0" fontId="12" fillId="5" borderId="8" xfId="0" applyFont="1" applyFill="1" applyBorder="1"/>
    <xf numFmtId="0" fontId="8" fillId="0" borderId="4" xfId="0" applyFont="1" applyBorder="1" applyAlignment="1">
      <alignment horizontal="right"/>
    </xf>
    <xf numFmtId="164" fontId="1" fillId="0" borderId="0" xfId="0" applyNumberFormat="1" applyFont="1"/>
    <xf numFmtId="0" fontId="4" fillId="3" borderId="31" xfId="0" applyFont="1" applyFill="1" applyBorder="1" applyAlignment="1">
      <alignment horizontal="center"/>
    </xf>
    <xf numFmtId="0" fontId="1" fillId="5" borderId="8" xfId="0" applyFont="1" applyFill="1" applyBorder="1" applyAlignment="1"/>
    <xf numFmtId="10" fontId="13" fillId="3" borderId="4" xfId="0" applyNumberFormat="1" applyFont="1" applyFill="1" applyBorder="1" applyAlignment="1">
      <alignment horizontal="center"/>
    </xf>
    <xf numFmtId="164" fontId="13" fillId="3" borderId="31" xfId="0" applyNumberFormat="1" applyFont="1" applyFill="1" applyBorder="1" applyAlignment="1">
      <alignment horizontal="center"/>
    </xf>
    <xf numFmtId="0" fontId="1" fillId="6" borderId="8" xfId="0" applyFont="1" applyFill="1" applyBorder="1" applyAlignment="1">
      <alignment vertical="center"/>
    </xf>
    <xf numFmtId="164" fontId="2" fillId="4" borderId="8" xfId="0" applyNumberFormat="1" applyFont="1" applyFill="1" applyBorder="1" applyAlignment="1">
      <alignment horizontal="left"/>
    </xf>
    <xf numFmtId="0" fontId="1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4" borderId="8" xfId="0" applyFont="1" applyFill="1" applyBorder="1"/>
    <xf numFmtId="10" fontId="8" fillId="0" borderId="4" xfId="0" applyNumberFormat="1" applyFont="1" applyBorder="1" applyAlignment="1">
      <alignment horizontal="center"/>
    </xf>
    <xf numFmtId="0" fontId="8" fillId="5" borderId="28" xfId="0" applyFont="1" applyFill="1" applyBorder="1"/>
    <xf numFmtId="4" fontId="8" fillId="5" borderId="8" xfId="0" applyNumberFormat="1" applyFont="1" applyFill="1" applyBorder="1"/>
    <xf numFmtId="10" fontId="8" fillId="0" borderId="3" xfId="0" applyNumberFormat="1" applyFont="1" applyBorder="1" applyAlignment="1">
      <alignment horizontal="center"/>
    </xf>
    <xf numFmtId="0" fontId="8" fillId="5" borderId="18" xfId="0" applyFont="1" applyFill="1" applyBorder="1" applyAlignment="1">
      <alignment horizontal="left" vertical="center"/>
    </xf>
    <xf numFmtId="0" fontId="13" fillId="3" borderId="4" xfId="0" applyFont="1" applyFill="1" applyBorder="1"/>
    <xf numFmtId="164" fontId="14" fillId="4" borderId="8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164" fontId="8" fillId="5" borderId="4" xfId="0" applyNumberFormat="1" applyFont="1" applyFill="1" applyBorder="1"/>
    <xf numFmtId="0" fontId="9" fillId="0" borderId="0" xfId="0" applyFont="1" applyAlignment="1">
      <alignment horizontal="right"/>
    </xf>
    <xf numFmtId="0" fontId="8" fillId="5" borderId="8" xfId="0" applyFont="1" applyFill="1" applyBorder="1" applyAlignment="1">
      <alignment horizontal="center"/>
    </xf>
    <xf numFmtId="164" fontId="8" fillId="5" borderId="8" xfId="0" applyNumberFormat="1" applyFont="1" applyFill="1" applyBorder="1"/>
    <xf numFmtId="0" fontId="21" fillId="0" borderId="0" xfId="0" applyFont="1"/>
    <xf numFmtId="0" fontId="4" fillId="3" borderId="15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8" fontId="22" fillId="0" borderId="4" xfId="0" applyNumberFormat="1" applyFont="1" applyBorder="1" applyAlignment="1">
      <alignment horizontal="center" vertical="center" wrapText="1"/>
    </xf>
    <xf numFmtId="8" fontId="22" fillId="0" borderId="4" xfId="0" applyNumberFormat="1" applyFont="1" applyBorder="1" applyAlignment="1">
      <alignment horizontal="center"/>
    </xf>
    <xf numFmtId="0" fontId="24" fillId="0" borderId="0" xfId="0" applyFont="1"/>
    <xf numFmtId="175" fontId="25" fillId="0" borderId="4" xfId="0" applyNumberFormat="1" applyFont="1" applyBorder="1" applyAlignment="1">
      <alignment horizontal="center" vertical="center" wrapText="1"/>
    </xf>
    <xf numFmtId="175" fontId="24" fillId="0" borderId="4" xfId="0" applyNumberFormat="1" applyFont="1" applyBorder="1" applyAlignment="1">
      <alignment horizontal="center" vertical="center" wrapText="1"/>
    </xf>
    <xf numFmtId="10" fontId="24" fillId="0" borderId="4" xfId="0" applyNumberFormat="1" applyFont="1" applyBorder="1" applyAlignment="1">
      <alignment horizontal="right" vertical="center" wrapText="1"/>
    </xf>
    <xf numFmtId="10" fontId="24" fillId="0" borderId="4" xfId="0" applyNumberFormat="1" applyFont="1" applyBorder="1" applyAlignment="1">
      <alignment horizontal="right" vertical="center" wrapText="1"/>
    </xf>
    <xf numFmtId="8" fontId="24" fillId="0" borderId="0" xfId="0" applyNumberFormat="1" applyFont="1"/>
    <xf numFmtId="176" fontId="24" fillId="0" borderId="0" xfId="0" applyNumberFormat="1" applyFont="1"/>
    <xf numFmtId="175" fontId="24" fillId="2" borderId="4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75" fontId="24" fillId="0" borderId="0" xfId="0" applyNumberFormat="1" applyFont="1"/>
    <xf numFmtId="175" fontId="21" fillId="0" borderId="0" xfId="0" applyNumberFormat="1" applyFont="1"/>
    <xf numFmtId="0" fontId="27" fillId="0" borderId="0" xfId="0" applyFont="1"/>
    <xf numFmtId="0" fontId="21" fillId="0" borderId="0" xfId="0" applyFont="1" applyAlignment="1">
      <alignment horizontal="center"/>
    </xf>
    <xf numFmtId="0" fontId="28" fillId="3" borderId="61" xfId="0" applyFont="1" applyFill="1" applyBorder="1" applyAlignment="1">
      <alignment horizontal="center" vertical="center" wrapText="1"/>
    </xf>
    <xf numFmtId="0" fontId="28" fillId="3" borderId="62" xfId="0" applyFont="1" applyFill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21" fillId="0" borderId="62" xfId="0" applyFont="1" applyBorder="1" applyAlignment="1">
      <alignment vertical="center" wrapText="1"/>
    </xf>
    <xf numFmtId="0" fontId="21" fillId="0" borderId="62" xfId="0" applyFont="1" applyBorder="1" applyAlignment="1">
      <alignment horizontal="center" vertical="center" wrapText="1"/>
    </xf>
    <xf numFmtId="165" fontId="21" fillId="0" borderId="62" xfId="0" applyNumberFormat="1" applyFont="1" applyBorder="1" applyAlignment="1">
      <alignment horizontal="center" vertical="center" wrapText="1"/>
    </xf>
    <xf numFmtId="8" fontId="21" fillId="0" borderId="62" xfId="0" applyNumberFormat="1" applyFont="1" applyBorder="1" applyAlignment="1">
      <alignment vertical="center" wrapText="1"/>
    </xf>
    <xf numFmtId="8" fontId="28" fillId="3" borderId="62" xfId="0" applyNumberFormat="1" applyFont="1" applyFill="1" applyBorder="1" applyAlignment="1">
      <alignment horizontal="center" vertical="center" wrapText="1"/>
    </xf>
    <xf numFmtId="8" fontId="2" fillId="2" borderId="62" xfId="0" applyNumberFormat="1" applyFont="1" applyFill="1" applyBorder="1" applyAlignment="1">
      <alignment horizontal="center" vertical="center" wrapText="1"/>
    </xf>
    <xf numFmtId="0" fontId="2" fillId="6" borderId="61" xfId="0" applyFont="1" applyFill="1" applyBorder="1" applyAlignment="1">
      <alignment horizontal="center" vertical="center" wrapText="1"/>
    </xf>
    <xf numFmtId="0" fontId="2" fillId="6" borderId="62" xfId="0" applyFont="1" applyFill="1" applyBorder="1" applyAlignment="1">
      <alignment horizontal="center" vertical="center" wrapText="1"/>
    </xf>
    <xf numFmtId="165" fontId="2" fillId="6" borderId="62" xfId="0" applyNumberFormat="1" applyFont="1" applyFill="1" applyBorder="1" applyAlignment="1">
      <alignment horizontal="center" vertical="center" wrapText="1"/>
    </xf>
    <xf numFmtId="165" fontId="21" fillId="0" borderId="0" xfId="0" applyNumberFormat="1" applyFont="1"/>
    <xf numFmtId="0" fontId="21" fillId="6" borderId="61" xfId="0" applyFont="1" applyFill="1" applyBorder="1" applyAlignment="1">
      <alignment horizontal="center" vertical="center" wrapText="1"/>
    </xf>
    <xf numFmtId="0" fontId="21" fillId="6" borderId="62" xfId="0" applyFont="1" applyFill="1" applyBorder="1" applyAlignment="1">
      <alignment vertical="center" wrapText="1"/>
    </xf>
    <xf numFmtId="0" fontId="21" fillId="6" borderId="62" xfId="0" applyFont="1" applyFill="1" applyBorder="1" applyAlignment="1">
      <alignment horizontal="center" vertical="center" wrapText="1"/>
    </xf>
    <xf numFmtId="165" fontId="21" fillId="6" borderId="62" xfId="0" applyNumberFormat="1" applyFont="1" applyFill="1" applyBorder="1" applyAlignment="1">
      <alignment horizontal="center" vertical="center" wrapText="1"/>
    </xf>
    <xf numFmtId="8" fontId="28" fillId="3" borderId="64" xfId="0" applyNumberFormat="1" applyFont="1" applyFill="1" applyBorder="1" applyAlignment="1">
      <alignment horizontal="center" vertical="center" wrapText="1"/>
    </xf>
    <xf numFmtId="8" fontId="28" fillId="3" borderId="65" xfId="0" applyNumberFormat="1" applyFont="1" applyFill="1" applyBorder="1" applyAlignment="1">
      <alignment horizontal="center" vertical="center" wrapText="1"/>
    </xf>
    <xf numFmtId="8" fontId="2" fillId="2" borderId="64" xfId="0" applyNumberFormat="1" applyFont="1" applyFill="1" applyBorder="1" applyAlignment="1">
      <alignment horizontal="center" vertical="center" wrapText="1"/>
    </xf>
    <xf numFmtId="8" fontId="21" fillId="6" borderId="62" xfId="0" applyNumberFormat="1" applyFont="1" applyFill="1" applyBorder="1" applyAlignment="1">
      <alignment horizontal="center" vertical="center" wrapText="1"/>
    </xf>
    <xf numFmtId="3" fontId="22" fillId="0" borderId="66" xfId="0" applyNumberFormat="1" applyFont="1" applyBorder="1" applyAlignment="1">
      <alignment horizontal="center" vertical="center" wrapText="1"/>
    </xf>
    <xf numFmtId="3" fontId="22" fillId="0" borderId="67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3" fontId="29" fillId="0" borderId="67" xfId="0" applyNumberFormat="1" applyFont="1" applyBorder="1" applyAlignment="1">
      <alignment horizontal="center" vertical="center" wrapText="1"/>
    </xf>
    <xf numFmtId="0" fontId="30" fillId="0" borderId="62" xfId="0" applyFont="1" applyBorder="1" applyAlignment="1">
      <alignment horizontal="center" vertical="center" wrapText="1"/>
    </xf>
    <xf numFmtId="8" fontId="21" fillId="6" borderId="62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4" fillId="3" borderId="1" xfId="0" applyFon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0" fontId="1" fillId="5" borderId="9" xfId="0" applyFont="1" applyFill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8" fillId="5" borderId="13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/>
    <xf numFmtId="0" fontId="5" fillId="2" borderId="9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14" fontId="1" fillId="5" borderId="1" xfId="0" applyNumberFormat="1" applyFont="1" applyFill="1" applyBorder="1" applyAlignment="1">
      <alignment horizontal="center"/>
    </xf>
    <xf numFmtId="0" fontId="3" fillId="0" borderId="16" xfId="0" applyFont="1" applyBorder="1"/>
    <xf numFmtId="0" fontId="8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0" fontId="5" fillId="5" borderId="20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4" fillId="3" borderId="2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3" fillId="0" borderId="26" xfId="0" applyFont="1" applyBorder="1"/>
    <xf numFmtId="0" fontId="3" fillId="0" borderId="27" xfId="0" applyFont="1" applyBorder="1"/>
    <xf numFmtId="0" fontId="5" fillId="2" borderId="2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166" fontId="4" fillId="3" borderId="1" xfId="0" applyNumberFormat="1" applyFont="1" applyFill="1" applyBorder="1" applyAlignment="1">
      <alignment horizontal="center"/>
    </xf>
    <xf numFmtId="0" fontId="1" fillId="5" borderId="13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left"/>
    </xf>
    <xf numFmtId="164" fontId="8" fillId="0" borderId="2" xfId="0" applyNumberFormat="1" applyFont="1" applyBorder="1" applyAlignment="1">
      <alignment horizontal="left"/>
    </xf>
    <xf numFmtId="164" fontId="8" fillId="5" borderId="1" xfId="0" applyNumberFormat="1" applyFont="1" applyFill="1" applyBorder="1" applyAlignment="1">
      <alignment horizontal="left"/>
    </xf>
    <xf numFmtId="165" fontId="1" fillId="5" borderId="13" xfId="0" applyNumberFormat="1" applyFont="1" applyFill="1" applyBorder="1" applyAlignment="1">
      <alignment horizontal="left"/>
    </xf>
    <xf numFmtId="0" fontId="8" fillId="5" borderId="1" xfId="0" applyFont="1" applyFill="1" applyBorder="1" applyAlignment="1">
      <alignment horizontal="left"/>
    </xf>
    <xf numFmtId="164" fontId="1" fillId="0" borderId="29" xfId="0" applyNumberFormat="1" applyFont="1" applyBorder="1" applyAlignment="1">
      <alignment horizontal="left"/>
    </xf>
    <xf numFmtId="0" fontId="3" fillId="0" borderId="30" xfId="0" applyFont="1" applyBorder="1"/>
    <xf numFmtId="0" fontId="4" fillId="3" borderId="24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8" fillId="0" borderId="1" xfId="0" applyFont="1" applyBorder="1" applyAlignment="1">
      <alignment horizontal="left"/>
    </xf>
    <xf numFmtId="0" fontId="1" fillId="0" borderId="24" xfId="0" applyFont="1" applyBorder="1" applyAlignment="1">
      <alignment horizontal="center"/>
    </xf>
    <xf numFmtId="0" fontId="10" fillId="7" borderId="36" xfId="0" applyFont="1" applyFill="1" applyBorder="1" applyAlignment="1">
      <alignment horizontal="center"/>
    </xf>
    <xf numFmtId="0" fontId="3" fillId="0" borderId="37" xfId="0" applyFont="1" applyBorder="1"/>
    <xf numFmtId="0" fontId="4" fillId="3" borderId="1" xfId="0" applyFont="1" applyFill="1" applyBorder="1" applyAlignment="1">
      <alignment horizontal="center"/>
    </xf>
    <xf numFmtId="0" fontId="1" fillId="0" borderId="32" xfId="0" applyFont="1" applyBorder="1" applyAlignment="1">
      <alignment horizontal="center" vertical="center"/>
    </xf>
    <xf numFmtId="0" fontId="3" fillId="0" borderId="38" xfId="0" applyFont="1" applyBorder="1"/>
    <xf numFmtId="0" fontId="1" fillId="0" borderId="33" xfId="0" applyFont="1" applyBorder="1" applyAlignment="1">
      <alignment horizontal="center" vertical="center"/>
    </xf>
    <xf numFmtId="0" fontId="3" fillId="0" borderId="39" xfId="0" applyFont="1" applyBorder="1"/>
    <xf numFmtId="164" fontId="4" fillId="6" borderId="34" xfId="0" applyNumberFormat="1" applyFont="1" applyFill="1" applyBorder="1" applyAlignment="1">
      <alignment horizontal="center" vertical="center"/>
    </xf>
    <xf numFmtId="0" fontId="3" fillId="0" borderId="35" xfId="0" applyFont="1" applyBorder="1"/>
    <xf numFmtId="164" fontId="2" fillId="6" borderId="40" xfId="0" applyNumberFormat="1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3" fillId="0" borderId="45" xfId="0" applyFont="1" applyBorder="1"/>
    <xf numFmtId="0" fontId="3" fillId="0" borderId="29" xfId="0" applyFont="1" applyBorder="1"/>
    <xf numFmtId="0" fontId="3" fillId="0" borderId="46" xfId="0" applyFont="1" applyBorder="1"/>
    <xf numFmtId="164" fontId="2" fillId="0" borderId="44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left"/>
    </xf>
    <xf numFmtId="0" fontId="1" fillId="0" borderId="50" xfId="0" applyFont="1" applyBorder="1" applyAlignment="1">
      <alignment horizontal="center"/>
    </xf>
    <xf numFmtId="0" fontId="3" fillId="0" borderId="51" xfId="0" applyFont="1" applyBorder="1"/>
    <xf numFmtId="0" fontId="2" fillId="5" borderId="9" xfId="0" applyFont="1" applyFill="1" applyBorder="1" applyAlignment="1">
      <alignment horizontal="center"/>
    </xf>
    <xf numFmtId="0" fontId="8" fillId="5" borderId="21" xfId="0" applyFont="1" applyFill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164" fontId="4" fillId="3" borderId="55" xfId="0" applyNumberFormat="1" applyFont="1" applyFill="1" applyBorder="1" applyAlignment="1">
      <alignment horizontal="left"/>
    </xf>
    <xf numFmtId="0" fontId="3" fillId="0" borderId="56" xfId="0" applyFont="1" applyBorder="1"/>
    <xf numFmtId="0" fontId="4" fillId="3" borderId="52" xfId="0" applyFont="1" applyFill="1" applyBorder="1" applyAlignment="1">
      <alignment horizontal="center"/>
    </xf>
    <xf numFmtId="0" fontId="3" fillId="0" borderId="53" xfId="0" applyFont="1" applyBorder="1"/>
    <xf numFmtId="0" fontId="3" fillId="0" borderId="54" xfId="0" applyFont="1" applyBorder="1"/>
    <xf numFmtId="0" fontId="9" fillId="0" borderId="0" xfId="0" applyFont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164" fontId="8" fillId="5" borderId="1" xfId="0" applyNumberFormat="1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17" fillId="5" borderId="1" xfId="0" applyFont="1" applyFill="1" applyBorder="1" applyAlignment="1">
      <alignment horizontal="left"/>
    </xf>
    <xf numFmtId="164" fontId="2" fillId="5" borderId="1" xfId="0" applyNumberFormat="1" applyFont="1" applyFill="1" applyBorder="1" applyAlignment="1">
      <alignment horizontal="center"/>
    </xf>
    <xf numFmtId="0" fontId="18" fillId="5" borderId="1" xfId="0" applyFont="1" applyFill="1" applyBorder="1" applyAlignment="1">
      <alignment horizontal="left" vertical="top" wrapText="1"/>
    </xf>
    <xf numFmtId="0" fontId="19" fillId="5" borderId="1" xfId="0" applyFont="1" applyFill="1" applyBorder="1" applyAlignment="1">
      <alignment horizontal="left" vertical="top" wrapText="1"/>
    </xf>
    <xf numFmtId="0" fontId="20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8" fillId="0" borderId="24" xfId="0" applyFont="1" applyBorder="1" applyAlignment="1">
      <alignment horizontal="right"/>
    </xf>
    <xf numFmtId="0" fontId="9" fillId="5" borderId="9" xfId="0" applyFont="1" applyFill="1" applyBorder="1" applyAlignment="1">
      <alignment horizontal="left"/>
    </xf>
    <xf numFmtId="0" fontId="8" fillId="5" borderId="33" xfId="0" applyFont="1" applyFill="1" applyBorder="1" applyAlignment="1">
      <alignment horizontal="left" vertical="center"/>
    </xf>
    <xf numFmtId="172" fontId="8" fillId="5" borderId="34" xfId="0" applyNumberFormat="1" applyFont="1" applyFill="1" applyBorder="1" applyAlignment="1">
      <alignment horizontal="center" vertical="center"/>
    </xf>
    <xf numFmtId="0" fontId="3" fillId="0" borderId="57" xfId="0" applyFont="1" applyBorder="1"/>
    <xf numFmtId="0" fontId="8" fillId="5" borderId="1" xfId="0" applyFont="1" applyFill="1" applyBorder="1" applyAlignment="1">
      <alignment horizontal="left" wrapText="1"/>
    </xf>
    <xf numFmtId="164" fontId="2" fillId="5" borderId="36" xfId="0" applyNumberFormat="1" applyFont="1" applyFill="1" applyBorder="1" applyAlignment="1">
      <alignment horizontal="center" vertical="center"/>
    </xf>
    <xf numFmtId="173" fontId="1" fillId="0" borderId="1" xfId="0" applyNumberFormat="1" applyFont="1" applyBorder="1" applyAlignment="1">
      <alignment horizontal="center"/>
    </xf>
    <xf numFmtId="174" fontId="1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left" vertical="center" wrapText="1"/>
    </xf>
    <xf numFmtId="0" fontId="26" fillId="2" borderId="58" xfId="0" applyFont="1" applyFill="1" applyBorder="1" applyAlignment="1">
      <alignment horizontal="center" vertical="center"/>
    </xf>
    <xf numFmtId="0" fontId="3" fillId="0" borderId="59" xfId="0" applyFont="1" applyBorder="1"/>
    <xf numFmtId="0" fontId="23" fillId="3" borderId="24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4" fillId="9" borderId="36" xfId="0" applyFont="1" applyFill="1" applyBorder="1" applyAlignment="1">
      <alignment horizontal="center" wrapText="1"/>
    </xf>
    <xf numFmtId="0" fontId="3" fillId="0" borderId="60" xfId="0" applyFont="1" applyBorder="1"/>
    <xf numFmtId="0" fontId="2" fillId="2" borderId="36" xfId="0" applyFont="1" applyFill="1" applyBorder="1" applyAlignment="1">
      <alignment horizontal="center" wrapText="1"/>
    </xf>
    <xf numFmtId="0" fontId="28" fillId="3" borderId="36" xfId="0" applyFont="1" applyFill="1" applyBorder="1" applyAlignment="1">
      <alignment horizontal="center" wrapText="1"/>
    </xf>
    <xf numFmtId="0" fontId="4" fillId="9" borderId="9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3" fillId="0" borderId="6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4.42578125" defaultRowHeight="15" customHeight="1"/>
  <cols>
    <col min="1" max="2" width="9.140625" customWidth="1"/>
    <col min="3" max="3" width="46.5703125" customWidth="1"/>
    <col min="4" max="4" width="15.5703125" customWidth="1"/>
    <col min="5" max="5" width="13.42578125" customWidth="1"/>
    <col min="6" max="6" width="11.42578125" customWidth="1"/>
    <col min="7" max="7" width="21.5703125" customWidth="1"/>
    <col min="8" max="8" width="20.140625" customWidth="1"/>
    <col min="9" max="11" width="9.140625" customWidth="1"/>
    <col min="12" max="26" width="8.7109375" customWidth="1"/>
  </cols>
  <sheetData>
    <row r="1" spans="1:26" ht="12.75" customHeight="1">
      <c r="A1" s="1"/>
      <c r="B1" s="158" t="s">
        <v>0</v>
      </c>
      <c r="C1" s="159"/>
      <c r="D1" s="159"/>
      <c r="E1" s="159"/>
      <c r="F1" s="159"/>
      <c r="G1" s="159"/>
      <c r="H1" s="159"/>
      <c r="I1" s="159"/>
      <c r="J1" s="159"/>
      <c r="K1" s="16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161" t="s">
        <v>8</v>
      </c>
      <c r="J2" s="159"/>
      <c r="K2" s="16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3">
        <v>1</v>
      </c>
      <c r="C3" s="4" t="str">
        <f>'AUX. LIMP.'!D17</f>
        <v>AUXILIAR DE LIMPEZA</v>
      </c>
      <c r="D3" s="3" t="str">
        <f>'AUX. LIMP.'!I15</f>
        <v>Posto de Serviço</v>
      </c>
      <c r="E3" s="5">
        <f>'AUX. LIMP.'!F146</f>
        <v>3728.5122173023342</v>
      </c>
      <c r="F3" s="3">
        <f>'AUX. LIMP.'!I16</f>
        <v>45</v>
      </c>
      <c r="G3" s="6">
        <f t="shared" ref="G3:G13" si="0">E3*F3</f>
        <v>167783.04977860503</v>
      </c>
      <c r="H3" s="6">
        <f t="shared" ref="H3:H13" si="1">G3*12</f>
        <v>2013396.5973432604</v>
      </c>
      <c r="I3" s="162">
        <f t="shared" ref="I3:I14" si="2">G3*30</f>
        <v>5033491.4933581511</v>
      </c>
      <c r="J3" s="159"/>
      <c r="K3" s="160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3">
        <v>2</v>
      </c>
      <c r="C4" s="4" t="str">
        <f>'SERV. LIMP. - EXT.'!D17</f>
        <v>SERVENTE DE LIMPEZA - ÁREA EXTERNA</v>
      </c>
      <c r="D4" s="3" t="str">
        <f>'SERV. LIMP. - EXT.'!I15</f>
        <v>Posto de Serviço</v>
      </c>
      <c r="E4" s="5">
        <f>'SERV. LIMP. - EXT.'!F146</f>
        <v>3897.2020917440359</v>
      </c>
      <c r="F4" s="3">
        <f>'SERV. LIMP. - EXT.'!I16</f>
        <v>12</v>
      </c>
      <c r="G4" s="6">
        <f t="shared" si="0"/>
        <v>46766.425100928434</v>
      </c>
      <c r="H4" s="6">
        <f t="shared" si="1"/>
        <v>561197.10121114121</v>
      </c>
      <c r="I4" s="162">
        <f t="shared" si="2"/>
        <v>1402992.7530278531</v>
      </c>
      <c r="J4" s="159"/>
      <c r="K4" s="16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3">
        <v>3</v>
      </c>
      <c r="C5" s="4" t="str">
        <f>'AG. LIMP. E DESINF. (I40%)'!D17</f>
        <v>AGENTE DE LIMPEZA E DESINFECÇÃO</v>
      </c>
      <c r="D5" s="3" t="str">
        <f>'AG. LIMP. E DESINF. (I40%)'!I15</f>
        <v>Posto de Serviço</v>
      </c>
      <c r="E5" s="5">
        <f>'AG. LIMP. E DESINF. (I40%)'!F146</f>
        <v>4696.1187182435297</v>
      </c>
      <c r="F5" s="3">
        <f>'AG. LIMP. E DESINF. (I40%)'!I16</f>
        <v>40</v>
      </c>
      <c r="G5" s="6">
        <f t="shared" si="0"/>
        <v>187844.7487297412</v>
      </c>
      <c r="H5" s="6">
        <f t="shared" si="1"/>
        <v>2254136.9847568944</v>
      </c>
      <c r="I5" s="162">
        <f t="shared" si="2"/>
        <v>5635342.461892236</v>
      </c>
      <c r="J5" s="159"/>
      <c r="K5" s="16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3">
        <v>4</v>
      </c>
      <c r="C6" s="4" t="str">
        <f>'AG. COLETA (I40%)'!D17</f>
        <v>AGENTE DE COLETA</v>
      </c>
      <c r="D6" s="3" t="str">
        <f>'AG. COLETA (I40%)'!I15</f>
        <v>Posto de Serviço</v>
      </c>
      <c r="E6" s="5">
        <f>'AG. COLETA (I40%)'!F146</f>
        <v>4292.4965353462612</v>
      </c>
      <c r="F6" s="3">
        <f>'AG. COLETA (I40%)'!I16</f>
        <v>5</v>
      </c>
      <c r="G6" s="6">
        <f t="shared" si="0"/>
        <v>21462.482676731306</v>
      </c>
      <c r="H6" s="6">
        <f t="shared" si="1"/>
        <v>257549.79212077567</v>
      </c>
      <c r="I6" s="162">
        <f t="shared" si="2"/>
        <v>643874.48030193918</v>
      </c>
      <c r="J6" s="159"/>
      <c r="K6" s="16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3">
        <v>5</v>
      </c>
      <c r="C7" s="4" t="str">
        <f>COPEIRO!D17</f>
        <v>COPEIRO</v>
      </c>
      <c r="D7" s="3" t="str">
        <f>COPEIRO!I15</f>
        <v>Posto de Serviço</v>
      </c>
      <c r="E7" s="5">
        <f>COPEIRO!F146</f>
        <v>3409.198934979639</v>
      </c>
      <c r="F7" s="3">
        <f>COPEIRO!I16</f>
        <v>8</v>
      </c>
      <c r="G7" s="6">
        <f t="shared" si="0"/>
        <v>27273.591479837112</v>
      </c>
      <c r="H7" s="6">
        <f t="shared" si="1"/>
        <v>327283.09775804536</v>
      </c>
      <c r="I7" s="162">
        <f t="shared" si="2"/>
        <v>818207.74439511332</v>
      </c>
      <c r="J7" s="159"/>
      <c r="K7" s="16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3">
        <v>6</v>
      </c>
      <c r="C8" s="4" t="str">
        <f>JARDINEIRO!D17</f>
        <v>JARDINEIRO</v>
      </c>
      <c r="D8" s="3" t="str">
        <f>JARDINEIRO!I15</f>
        <v>Posto de Serviço</v>
      </c>
      <c r="E8" s="5">
        <f>JARDINEIRO!F146</f>
        <v>4082.6023660035944</v>
      </c>
      <c r="F8" s="3">
        <f>JARDINEIRO!I16</f>
        <v>6</v>
      </c>
      <c r="G8" s="6">
        <f t="shared" si="0"/>
        <v>24495.614196021568</v>
      </c>
      <c r="H8" s="6">
        <f t="shared" si="1"/>
        <v>293947.37035225879</v>
      </c>
      <c r="I8" s="162">
        <f t="shared" si="2"/>
        <v>734868.42588064703</v>
      </c>
      <c r="J8" s="159"/>
      <c r="K8" s="16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3">
        <v>7</v>
      </c>
      <c r="C9" s="4" t="str">
        <f>'JARD. PODADOR (P30%)'!D17</f>
        <v>JARDINEIRO PODADOR</v>
      </c>
      <c r="D9" s="3" t="str">
        <f>'JARD. PODADOR (P30%)'!I15</f>
        <v>Posto de Serviço</v>
      </c>
      <c r="E9" s="5">
        <f>'JARD. PODADOR (P30%)'!F146</f>
        <v>5000.8622415405825</v>
      </c>
      <c r="F9" s="3">
        <f>'JARD. PODADOR (P30%)'!I16</f>
        <v>4</v>
      </c>
      <c r="G9" s="6">
        <f t="shared" si="0"/>
        <v>20003.44896616233</v>
      </c>
      <c r="H9" s="6">
        <f t="shared" si="1"/>
        <v>240041.38759394796</v>
      </c>
      <c r="I9" s="162">
        <f t="shared" si="2"/>
        <v>600103.46898486989</v>
      </c>
      <c r="J9" s="159"/>
      <c r="K9" s="16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3">
        <v>8</v>
      </c>
      <c r="C10" s="4" t="str">
        <f>'LAVADOR DE VEÍCULOS'!D17</f>
        <v>LAVADOR DE VEÍCULOS</v>
      </c>
      <c r="D10" s="3" t="str">
        <f>'LAVADOR DE VEÍCULOS'!I15</f>
        <v>Posto de Serviço</v>
      </c>
      <c r="E10" s="5">
        <f>'LAVADOR DE VEÍCULOS'!F146</f>
        <v>3660.1331786951887</v>
      </c>
      <c r="F10" s="3">
        <f>'LAVADOR DE VEÍCULOS'!I16</f>
        <v>1</v>
      </c>
      <c r="G10" s="6">
        <f t="shared" si="0"/>
        <v>3660.1331786951887</v>
      </c>
      <c r="H10" s="6">
        <f t="shared" si="1"/>
        <v>43921.598144342264</v>
      </c>
      <c r="I10" s="162">
        <f t="shared" si="2"/>
        <v>109803.99536085565</v>
      </c>
      <c r="J10" s="159"/>
      <c r="K10" s="160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3">
        <v>9</v>
      </c>
      <c r="C11" s="4" t="str">
        <f>'OPERADOR DE PÁ E TRATORES'!D17</f>
        <v>OPERADOR DE PÁ CARREGADEIRA E TRATORES</v>
      </c>
      <c r="D11" s="3" t="str">
        <f>'OPERADOR DE PÁ E TRATORES'!I15</f>
        <v>Posto de Serviço</v>
      </c>
      <c r="E11" s="5">
        <f>'OPERADOR DE PÁ E TRATORES'!F146</f>
        <v>4428.1937304061239</v>
      </c>
      <c r="F11" s="3">
        <f>'OPERADOR DE PÁ E TRATORES'!I16</f>
        <v>1</v>
      </c>
      <c r="G11" s="6">
        <f t="shared" si="0"/>
        <v>4428.1937304061239</v>
      </c>
      <c r="H11" s="6">
        <f t="shared" si="1"/>
        <v>53138.324764873483</v>
      </c>
      <c r="I11" s="162">
        <f t="shared" si="2"/>
        <v>132845.81191218371</v>
      </c>
      <c r="J11" s="159"/>
      <c r="K11" s="160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3">
        <v>10</v>
      </c>
      <c r="C12" s="4" t="str">
        <f>'MOTO. COLETA (I40%)'!D17</f>
        <v>MOTORISTA DE COLETA</v>
      </c>
      <c r="D12" s="3" t="str">
        <f>'MOTO. COLETA (I40%)'!I15</f>
        <v>Posto de Serviço</v>
      </c>
      <c r="E12" s="5">
        <f>'MOTO. COLETA (I40%)'!F146</f>
        <v>5469.6528035291558</v>
      </c>
      <c r="F12" s="3">
        <f>'MOTO. COLETA (I40%)'!I16</f>
        <v>1</v>
      </c>
      <c r="G12" s="6">
        <f t="shared" si="0"/>
        <v>5469.6528035291558</v>
      </c>
      <c r="H12" s="6">
        <f t="shared" si="1"/>
        <v>65635.833642349869</v>
      </c>
      <c r="I12" s="162">
        <f t="shared" si="2"/>
        <v>164089.58410587467</v>
      </c>
      <c r="J12" s="159"/>
      <c r="K12" s="160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3">
        <v>11</v>
      </c>
      <c r="C13" s="4" t="str">
        <f>SUPERVISOR!D17</f>
        <v>SUPERVISOR</v>
      </c>
      <c r="D13" s="3" t="str">
        <f>SUPERVISOR!I15</f>
        <v>Posto de Serviço</v>
      </c>
      <c r="E13" s="5">
        <f>SUPERVISOR!F146</f>
        <v>4399.6209887838531</v>
      </c>
      <c r="F13" s="3">
        <f>SUPERVISOR!I16</f>
        <v>3</v>
      </c>
      <c r="G13" s="6">
        <f t="shared" si="0"/>
        <v>13198.86296635156</v>
      </c>
      <c r="H13" s="6">
        <f t="shared" si="1"/>
        <v>158386.35559621872</v>
      </c>
      <c r="I13" s="162">
        <f t="shared" si="2"/>
        <v>395965.88899054681</v>
      </c>
      <c r="J13" s="159"/>
      <c r="K13" s="16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3">
        <v>12</v>
      </c>
      <c r="C14" s="4" t="s">
        <v>9</v>
      </c>
      <c r="D14" s="3"/>
      <c r="E14" s="5"/>
      <c r="F14" s="3"/>
      <c r="G14" s="6">
        <f>H14/12</f>
        <v>887.116507734739</v>
      </c>
      <c r="H14" s="6">
        <f>'DETALHAMENTO HORAS EXTRAS'!D59</f>
        <v>10645.398092816868</v>
      </c>
      <c r="I14" s="162">
        <f t="shared" si="2"/>
        <v>26613.495232042169</v>
      </c>
      <c r="J14" s="159"/>
      <c r="K14" s="16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64" t="s">
        <v>10</v>
      </c>
      <c r="C15" s="159"/>
      <c r="D15" s="159"/>
      <c r="E15" s="159"/>
      <c r="F15" s="160"/>
      <c r="G15" s="7">
        <f t="shared" ref="G15:H15" si="3">SUM(G3:G14)</f>
        <v>523273.32011474378</v>
      </c>
      <c r="H15" s="7">
        <f t="shared" si="3"/>
        <v>6279279.8413769258</v>
      </c>
      <c r="I15" s="163">
        <f>SUM(I3:K14)</f>
        <v>15698199.603442313</v>
      </c>
      <c r="J15" s="159"/>
      <c r="K15" s="160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B15:F15"/>
    <mergeCell ref="I6:K6"/>
    <mergeCell ref="I7:K7"/>
    <mergeCell ref="I14:K14"/>
    <mergeCell ref="I15:K15"/>
    <mergeCell ref="I8:K8"/>
    <mergeCell ref="I9:K9"/>
    <mergeCell ref="I10:K10"/>
    <mergeCell ref="I11:K11"/>
    <mergeCell ref="I12:K12"/>
    <mergeCell ref="I13:K13"/>
    <mergeCell ref="B1:K1"/>
    <mergeCell ref="I2:K2"/>
    <mergeCell ref="I3:K3"/>
    <mergeCell ref="I4:K4"/>
    <mergeCell ref="I5:K5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1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276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188" t="s">
        <v>277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1899.04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278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1899.04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1899.04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158.25333333333333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229.78384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142.79767978666666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530.83485311999993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379.80799999999999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47.475999999999999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56.971199999999996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28.485599999999998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18.990400000000001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11.39424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3.7980800000000001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151.92320000000001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698.84672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57.657600000000002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113.94239999999999</v>
      </c>
      <c r="I63" s="218">
        <f>IF(I62&gt;=0,I62,0)</f>
        <v>57.657600000000002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186.4076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530.83485311999993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698.84672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186.4076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1416.0891731199999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4.9395929439999993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0.39516743552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37.980800000000002</v>
      </c>
      <c r="K83" s="48"/>
      <c r="L83" s="84"/>
      <c r="M83" s="9" t="s">
        <v>279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19.614485735288888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7.2181307505863126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37.980800000000002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108.1289768653952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30.77148148148148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42.20088888888889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0.67554676522666657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0.34815733333333332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2.7104238911692802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31.439662222222221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108.14616058232188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108.14616058232188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108.14616058232188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DIVERSOS'!D11</f>
        <v>143.68472222222223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v>0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DIVERSOS'!F11</f>
        <v>2.5352063492063492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146.2199285714286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110.32872717417436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257.20200641267445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28.783259247639805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132.84581191218371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221.4096865203062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750.5694912669785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1899.04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1416.0891731199999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108.1289768653952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108.14616058232188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146.2199285714286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3677.6242391391456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750.5694912669785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4428.1937304061239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4428.1937304061239</v>
      </c>
      <c r="E146" s="39">
        <v>1</v>
      </c>
      <c r="F146" s="241">
        <f>D146*E146</f>
        <v>4428.1937304061239</v>
      </c>
      <c r="G146" s="160"/>
      <c r="H146" s="60">
        <f>I16</f>
        <v>1</v>
      </c>
      <c r="I146" s="242">
        <f>F146*H146</f>
        <v>4428.1937304061239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4428.1937304061239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4428.1937304061239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4428.1937304061239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53138.324764873483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1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280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258">
        <v>2163606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1899.04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281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1899.04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130</v>
      </c>
      <c r="G33" s="42">
        <v>1260.43</v>
      </c>
      <c r="H33" s="40">
        <v>0.4</v>
      </c>
      <c r="I33" s="198">
        <f>IF(F33="N",0,G33*H33)</f>
        <v>504.17200000000003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2403.212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200.26766666666666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290.78865200000001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180.70872526933334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671.76504393599998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480.64240000000001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60.080300000000001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72.09635999999999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36.048179999999995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24.032119999999999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14.419271999999999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4.8064239999999998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192.25695999999999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884.38201600000002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57.657600000000002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113.94239999999999</v>
      </c>
      <c r="I63" s="218">
        <f>IF(I62&gt;=0,I62,0)</f>
        <v>57.657600000000002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186.4076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671.76504393599998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884.38201600000002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186.4076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1742.554659936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6.2509947331999998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0.50007957865599995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48.064239999999998</v>
      </c>
      <c r="K83" s="48"/>
      <c r="L83" s="84"/>
      <c r="M83" s="9" t="s">
        <v>282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24.821892900031113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9.1344565872114512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48.064239999999998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136.83590379909856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38.940935185185182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53.404711111111112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0.85489620690133317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0.44058886666666669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3.4300084360227845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39.786509777777781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136.85764958366485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136.85764958366485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136.85764958366485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DIVERSOS'!D12</f>
        <v>120.56277777777778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v>0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DIVERSOS'!F12</f>
        <v>2.5352063492063492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123.09798412698413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136.27674592337243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317.69289265476334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35.552743222939519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164.08958410587471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273.48264017645783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927.09460608340783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2403.212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1742.554659936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136.83590379909856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136.85764958366485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123.09798412698413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4542.5581974457482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927.09460608340783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5469.6528035291558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5469.6528035291558</v>
      </c>
      <c r="E146" s="39">
        <v>1</v>
      </c>
      <c r="F146" s="241">
        <f>D146*E146</f>
        <v>5469.6528035291558</v>
      </c>
      <c r="G146" s="160"/>
      <c r="H146" s="60">
        <f>I16</f>
        <v>1</v>
      </c>
      <c r="I146" s="242">
        <f>F146*H146</f>
        <v>5469.6528035291558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5469.6528035291558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5469.6528035291558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5469.6528035291558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65635.833642349869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3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283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257">
        <v>804021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1899.04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284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1899.04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1899.04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158.25333333333333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229.78384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142.79767978666666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530.83485311999993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379.80799999999999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47.475999999999999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56.971199999999996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28.485599999999998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18.990400000000001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11.39424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3.7980800000000001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151.92320000000001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698.84672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57.657600000000002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113.94239999999999</v>
      </c>
      <c r="I63" s="218">
        <f>IF(I62&gt;=0,I62,0)</f>
        <v>57.657600000000002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186.4076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530.83485311999993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698.84672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186.4076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1416.0891731199999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4.9395929439999993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0.39516743552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37.980800000000002</v>
      </c>
      <c r="K83" s="48"/>
      <c r="L83" s="84"/>
      <c r="M83" s="9" t="s">
        <v>285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19.614485735288888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7.2181307505863126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37.980800000000002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108.1289768653952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30.77148148148148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42.20088888888889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0.67554676522666657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0.34815733333333332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2.7104238911692802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31.439662222222221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108.14616058232188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108.14616058232188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108.14616058232188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DIVERSOS'!D13</f>
        <v>119.955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v>0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DIVERSOS'!F13</f>
        <v>2.5352063492063492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122.49020634920635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109.6168355075077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255.54242082961889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28.597536427095044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131.98862966351558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219.98104943919267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745.72647186692996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1899.04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1416.0891731199999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108.1289768653952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108.14616058232188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122.49020634920635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3653.8945169169233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745.72647186692996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4399.6209887838531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4399.6209887838531</v>
      </c>
      <c r="E146" s="39">
        <v>1</v>
      </c>
      <c r="F146" s="241">
        <f>D146*E146</f>
        <v>4399.6209887838531</v>
      </c>
      <c r="G146" s="160"/>
      <c r="H146" s="60">
        <f>I16</f>
        <v>3</v>
      </c>
      <c r="I146" s="242">
        <f>F146*H146</f>
        <v>13198.86296635156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13198.86296635156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13198.86296635156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13198.86296635156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158386.35559621872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9.140625" customWidth="1"/>
    <col min="2" max="2" width="5.85546875" customWidth="1"/>
    <col min="3" max="3" width="68.85546875" customWidth="1"/>
    <col min="4" max="4" width="12.85546875" customWidth="1"/>
    <col min="5" max="5" width="12.28515625" customWidth="1"/>
    <col min="6" max="6" width="17.7109375" customWidth="1"/>
    <col min="7" max="26" width="8.7109375" customWidth="1"/>
  </cols>
  <sheetData>
    <row r="1" spans="1:26">
      <c r="A1" s="112"/>
      <c r="B1" s="193" t="s">
        <v>286</v>
      </c>
      <c r="C1" s="159"/>
      <c r="D1" s="159"/>
      <c r="E1" s="159"/>
      <c r="F1" s="159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54.75" customHeight="1">
      <c r="A2" s="112"/>
      <c r="B2" s="113" t="s">
        <v>287</v>
      </c>
      <c r="C2" s="113" t="s">
        <v>288</v>
      </c>
      <c r="D2" s="114" t="s">
        <v>289</v>
      </c>
      <c r="E2" s="113" t="s">
        <v>290</v>
      </c>
      <c r="F2" s="113" t="s">
        <v>291</v>
      </c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15.75">
      <c r="A3" s="112"/>
      <c r="B3" s="115">
        <v>1</v>
      </c>
      <c r="C3" s="115" t="s">
        <v>42</v>
      </c>
      <c r="D3" s="116">
        <f>UNIFORMES!G12+EPI!F11</f>
        <v>137.09902777777779</v>
      </c>
      <c r="E3" s="117">
        <f>'MATERIAIS A DISPONIBILIZAR'!F42</f>
        <v>343.45324666666664</v>
      </c>
      <c r="F3" s="117">
        <f>'FERRAMENTAS E EQUIP'!G51+'FERRAMENTAS E EQUIP'!G60</f>
        <v>16.681034453781511</v>
      </c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15.75">
      <c r="A4" s="112"/>
      <c r="B4" s="115">
        <v>2</v>
      </c>
      <c r="C4" s="115" t="s">
        <v>292</v>
      </c>
      <c r="D4" s="116">
        <f>UNIFORMES!M12+EPI!F39</f>
        <v>218.67333333333335</v>
      </c>
      <c r="E4" s="117">
        <f>'MATERIAIS A DISPONIBILIZAR'!F68</f>
        <v>238.29236111111115</v>
      </c>
      <c r="F4" s="117">
        <f>'FERRAMENTAS E EQUIP'!G40+'FERRAMENTAS E EQUIP'!G60</f>
        <v>180.36491121031744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5.75">
      <c r="A5" s="112"/>
      <c r="B5" s="115">
        <v>3</v>
      </c>
      <c r="C5" s="115" t="s">
        <v>293</v>
      </c>
      <c r="D5" s="116">
        <f>UNIFORMES!G12+EPI!F24</f>
        <v>169.92347222222224</v>
      </c>
      <c r="E5" s="117">
        <f>'MATERIAIS A DISPONIBILIZAR'!F42</f>
        <v>343.45324666666664</v>
      </c>
      <c r="F5" s="117">
        <f>'FERRAMENTAS E EQUIP'!G51+'FERRAMENTAS E EQUIP'!G60</f>
        <v>16.681034453781511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15.75">
      <c r="A6" s="112"/>
      <c r="B6" s="115">
        <v>4</v>
      </c>
      <c r="C6" s="115" t="s">
        <v>294</v>
      </c>
      <c r="D6" s="116">
        <f>UNIFORMES!M12+EPI!F24</f>
        <v>192.31347222222223</v>
      </c>
      <c r="E6" s="117">
        <v>0</v>
      </c>
      <c r="F6" s="117">
        <f>'FERRAMENTAS E EQUIP'!G60</f>
        <v>2.5352063492063492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15.75">
      <c r="A7" s="112"/>
      <c r="B7" s="115">
        <v>5</v>
      </c>
      <c r="C7" s="115" t="s">
        <v>295</v>
      </c>
      <c r="D7" s="116">
        <f>UNIFORMES!G36+EPI!F77</f>
        <v>72.997222222222234</v>
      </c>
      <c r="E7" s="117">
        <v>0</v>
      </c>
      <c r="F7" s="117">
        <f>'FERRAMENTAS E EQUIP'!G60</f>
        <v>2.5352063492063492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15.75">
      <c r="A8" s="112"/>
      <c r="B8" s="115">
        <v>6</v>
      </c>
      <c r="C8" s="115" t="s">
        <v>266</v>
      </c>
      <c r="D8" s="116">
        <f>UNIFORMES!M12+EPI!F39</f>
        <v>218.67333333333335</v>
      </c>
      <c r="E8" s="117">
        <f>'MATERIAIS A DISPONIBILIZAR'!F68</f>
        <v>238.29236111111115</v>
      </c>
      <c r="F8" s="117">
        <f>'FERRAMENTAS E EQUIP'!G40</f>
        <v>177.82970486111108</v>
      </c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15.75">
      <c r="A9" s="112"/>
      <c r="B9" s="115">
        <v>7</v>
      </c>
      <c r="C9" s="115" t="s">
        <v>296</v>
      </c>
      <c r="D9" s="116">
        <f>UNIFORMES!M12+EPI!F39</f>
        <v>218.67333333333335</v>
      </c>
      <c r="E9" s="117">
        <f>'MATERIAIS A DISPONIBILIZAR'!F68</f>
        <v>238.29236111111115</v>
      </c>
      <c r="F9" s="117">
        <f>'FERRAMENTAS E EQUIP'!G40</f>
        <v>177.82970486111108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5.75">
      <c r="A10" s="112"/>
      <c r="B10" s="115">
        <v>8</v>
      </c>
      <c r="C10" s="115" t="s">
        <v>297</v>
      </c>
      <c r="D10" s="116">
        <f>UNIFORMES!G28+EPI!F58</f>
        <v>166.44166666666666</v>
      </c>
      <c r="E10" s="117">
        <f>'MATERIAIS A DISPONIBILIZAR'!F52</f>
        <v>271.46750000000003</v>
      </c>
      <c r="F10" s="117">
        <f>'FERRAMENTAS E EQUIP'!G60</f>
        <v>2.5352063492063492</v>
      </c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5.75">
      <c r="A11" s="112"/>
      <c r="B11" s="115">
        <v>9</v>
      </c>
      <c r="C11" s="115" t="s">
        <v>298</v>
      </c>
      <c r="D11" s="116">
        <f>UNIFORMES!M12+EPI!F69</f>
        <v>143.68472222222223</v>
      </c>
      <c r="E11" s="117">
        <v>0</v>
      </c>
      <c r="F11" s="117">
        <f>'FERRAMENTAS E EQUIP'!G60</f>
        <v>2.5352063492063492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15.75">
      <c r="A12" s="112"/>
      <c r="B12" s="115">
        <v>10</v>
      </c>
      <c r="C12" s="115" t="s">
        <v>299</v>
      </c>
      <c r="D12" s="116">
        <f>UNIFORMES!M12+EPI!F89</f>
        <v>120.56277777777778</v>
      </c>
      <c r="E12" s="117">
        <v>0</v>
      </c>
      <c r="F12" s="117">
        <f>'FERRAMENTAS E EQUIP'!G60</f>
        <v>2.5352063492063492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15.75">
      <c r="A13" s="112"/>
      <c r="B13" s="115">
        <v>11</v>
      </c>
      <c r="C13" s="115" t="s">
        <v>283</v>
      </c>
      <c r="D13" s="116">
        <f>UNIFORMES!G21+EPI!F48</f>
        <v>119.955</v>
      </c>
      <c r="E13" s="117">
        <v>0</v>
      </c>
      <c r="F13" s="117">
        <f>'FERRAMENTAS E EQUIP'!G60</f>
        <v>2.5352063492063492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5.75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.7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5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5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5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5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5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1">
    <mergeCell ref="B1:F1"/>
  </mergeCells>
  <pageMargins left="0.511811024" right="0.511811024" top="0.78740157499999996" bottom="0.78740157499999996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9.140625" customWidth="1"/>
    <col min="2" max="2" width="13.42578125" customWidth="1"/>
    <col min="3" max="3" width="23.42578125" customWidth="1"/>
    <col min="4" max="4" width="14.5703125" customWidth="1"/>
    <col min="5" max="6" width="9.140625" customWidth="1"/>
    <col min="7" max="7" width="13.5703125" customWidth="1"/>
    <col min="8" max="8" width="24.7109375" customWidth="1"/>
    <col min="9" max="9" width="14.5703125" customWidth="1"/>
    <col min="10" max="11" width="9.140625" customWidth="1"/>
    <col min="12" max="12" width="15" customWidth="1"/>
    <col min="13" max="13" width="20.7109375" customWidth="1"/>
    <col min="14" max="14" width="15.5703125" customWidth="1"/>
    <col min="15" max="26" width="8.7109375" customWidth="1"/>
  </cols>
  <sheetData>
    <row r="1" spans="1:26" ht="56.25" customHeight="1">
      <c r="A1" s="262" t="s">
        <v>300</v>
      </c>
      <c r="B1" s="159"/>
      <c r="C1" s="159"/>
      <c r="D1" s="160"/>
      <c r="E1" s="118"/>
      <c r="F1" s="262" t="s">
        <v>301</v>
      </c>
      <c r="G1" s="159"/>
      <c r="H1" s="159"/>
      <c r="I1" s="160"/>
      <c r="J1" s="118"/>
      <c r="K1" s="262" t="s">
        <v>302</v>
      </c>
      <c r="L1" s="159"/>
      <c r="M1" s="159"/>
      <c r="N1" s="160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5" customHeight="1">
      <c r="A2" s="263" t="s">
        <v>303</v>
      </c>
      <c r="B2" s="159"/>
      <c r="C2" s="160"/>
      <c r="D2" s="119">
        <v>1260.43</v>
      </c>
      <c r="E2" s="118"/>
      <c r="F2" s="263" t="s">
        <v>303</v>
      </c>
      <c r="G2" s="159"/>
      <c r="H2" s="160"/>
      <c r="I2" s="119">
        <v>1282.27</v>
      </c>
      <c r="J2" s="118"/>
      <c r="K2" s="263" t="s">
        <v>303</v>
      </c>
      <c r="L2" s="159"/>
      <c r="M2" s="160"/>
      <c r="N2" s="119">
        <v>1443.19</v>
      </c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15" customHeight="1">
      <c r="A3" s="263" t="s">
        <v>304</v>
      </c>
      <c r="B3" s="159"/>
      <c r="C3" s="160"/>
      <c r="D3" s="120">
        <f>1260.43*0</f>
        <v>0</v>
      </c>
      <c r="E3" s="118"/>
      <c r="F3" s="263" t="s">
        <v>304</v>
      </c>
      <c r="G3" s="159"/>
      <c r="H3" s="160"/>
      <c r="I3" s="120">
        <f>1260.43*0.4</f>
        <v>504.17200000000003</v>
      </c>
      <c r="J3" s="118"/>
      <c r="K3" s="263" t="s">
        <v>304</v>
      </c>
      <c r="L3" s="159"/>
      <c r="M3" s="160"/>
      <c r="N3" s="120">
        <f>1260.43*0</f>
        <v>0</v>
      </c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15" customHeight="1">
      <c r="A4" s="259" t="s">
        <v>305</v>
      </c>
      <c r="B4" s="159"/>
      <c r="C4" s="160"/>
      <c r="D4" s="120">
        <f>(D2+D3)/220</f>
        <v>5.7292272727272726</v>
      </c>
      <c r="E4" s="118"/>
      <c r="F4" s="259" t="s">
        <v>305</v>
      </c>
      <c r="G4" s="159"/>
      <c r="H4" s="160"/>
      <c r="I4" s="120">
        <f>(I2+I3)/220</f>
        <v>8.1201909090909083</v>
      </c>
      <c r="J4" s="118"/>
      <c r="K4" s="259" t="s">
        <v>305</v>
      </c>
      <c r="L4" s="159"/>
      <c r="M4" s="160"/>
      <c r="N4" s="120">
        <f>(N2+N3)/220</f>
        <v>6.5599545454545458</v>
      </c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5" customHeight="1">
      <c r="A5" s="259" t="s">
        <v>306</v>
      </c>
      <c r="B5" s="160"/>
      <c r="C5" s="121">
        <v>0.36799999999999999</v>
      </c>
      <c r="D5" s="120">
        <f>D4*C5</f>
        <v>2.1083556363636364</v>
      </c>
      <c r="E5" s="118"/>
      <c r="F5" s="259" t="s">
        <v>306</v>
      </c>
      <c r="G5" s="160"/>
      <c r="H5" s="121">
        <v>0.36799999999999999</v>
      </c>
      <c r="I5" s="120">
        <f>I4*H5</f>
        <v>2.9882302545454542</v>
      </c>
      <c r="J5" s="118"/>
      <c r="K5" s="259" t="s">
        <v>306</v>
      </c>
      <c r="L5" s="160"/>
      <c r="M5" s="121">
        <v>0.36799999999999999</v>
      </c>
      <c r="N5" s="120">
        <f>N4*M5</f>
        <v>2.4140632727272728</v>
      </c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15" customHeight="1">
      <c r="A6" s="259" t="s">
        <v>307</v>
      </c>
      <c r="B6" s="160"/>
      <c r="C6" s="122">
        <v>0.03</v>
      </c>
      <c r="D6" s="120">
        <f>(D4+D5)*C6</f>
        <v>0.23512748727272725</v>
      </c>
      <c r="E6" s="118"/>
      <c r="F6" s="259" t="s">
        <v>307</v>
      </c>
      <c r="G6" s="160"/>
      <c r="H6" s="122">
        <v>0.03</v>
      </c>
      <c r="I6" s="120">
        <f>(I4+I5)*H6</f>
        <v>0.33325263490909085</v>
      </c>
      <c r="J6" s="118"/>
      <c r="K6" s="259" t="s">
        <v>307</v>
      </c>
      <c r="L6" s="160"/>
      <c r="M6" s="122">
        <v>0.03</v>
      </c>
      <c r="N6" s="120">
        <f>(N4+N5)*M6</f>
        <v>0.26922053454545458</v>
      </c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>
      <c r="A7" s="259" t="s">
        <v>201</v>
      </c>
      <c r="B7" s="160"/>
      <c r="C7" s="122">
        <v>6.7900000000000002E-2</v>
      </c>
      <c r="D7" s="120">
        <f>(D4+D5+D6)*C7</f>
        <v>0.54813703591309093</v>
      </c>
      <c r="E7" s="118"/>
      <c r="F7" s="259" t="s">
        <v>201</v>
      </c>
      <c r="G7" s="160"/>
      <c r="H7" s="122">
        <v>6.7900000000000002E-2</v>
      </c>
      <c r="I7" s="120">
        <f>(I4+I5+I6)*H7</f>
        <v>0.7768896509212363</v>
      </c>
      <c r="J7" s="118"/>
      <c r="K7" s="259" t="s">
        <v>201</v>
      </c>
      <c r="L7" s="160"/>
      <c r="M7" s="122">
        <v>6.7900000000000002E-2</v>
      </c>
      <c r="N7" s="120">
        <f>(N4+N5+N6)*M7</f>
        <v>0.62761588415018188</v>
      </c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>
      <c r="A8" s="259" t="s">
        <v>203</v>
      </c>
      <c r="B8" s="160"/>
      <c r="C8" s="121">
        <v>8.6499999999999994E-2</v>
      </c>
      <c r="D8" s="120">
        <f>((D4+D5+D6+D7)/(1-C8))*C8</f>
        <v>0.81631450781821224</v>
      </c>
      <c r="E8" s="118"/>
      <c r="F8" s="259" t="s">
        <v>203</v>
      </c>
      <c r="G8" s="160"/>
      <c r="H8" s="121">
        <v>8.6499999999999994E-2</v>
      </c>
      <c r="I8" s="120">
        <f>((I4+I5+I6+I7)/(1-H8))*H8</f>
        <v>1.1569849352806443</v>
      </c>
      <c r="J8" s="118"/>
      <c r="K8" s="259" t="s">
        <v>203</v>
      </c>
      <c r="L8" s="160"/>
      <c r="M8" s="121">
        <v>8.6499999999999994E-2</v>
      </c>
      <c r="N8" s="120">
        <f>((N4+N5+N6+N7)/(1-M8))*M8</f>
        <v>0.93467858947991211</v>
      </c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>
      <c r="A9" s="259" t="s">
        <v>308</v>
      </c>
      <c r="B9" s="159"/>
      <c r="C9" s="160"/>
      <c r="D9" s="120">
        <f>SUM(D4:D8)</f>
        <v>9.4371619400949402</v>
      </c>
      <c r="E9" s="118"/>
      <c r="F9" s="259" t="s">
        <v>308</v>
      </c>
      <c r="G9" s="159"/>
      <c r="H9" s="160"/>
      <c r="I9" s="120">
        <f>SUM(I4:I8)</f>
        <v>13.375548384747333</v>
      </c>
      <c r="J9" s="118"/>
      <c r="K9" s="259" t="s">
        <v>308</v>
      </c>
      <c r="L9" s="159"/>
      <c r="M9" s="160"/>
      <c r="N9" s="120">
        <f>SUM(N4:N8)</f>
        <v>10.805532826357366</v>
      </c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5" customHeight="1">
      <c r="A10" s="259" t="s">
        <v>309</v>
      </c>
      <c r="B10" s="159"/>
      <c r="C10" s="160"/>
      <c r="D10" s="120">
        <f>(30*D9)*1.5</f>
        <v>424.67228730427234</v>
      </c>
      <c r="E10" s="123"/>
      <c r="F10" s="259" t="s">
        <v>309</v>
      </c>
      <c r="G10" s="159"/>
      <c r="H10" s="160"/>
      <c r="I10" s="120">
        <f>(30*I9)*1.5</f>
        <v>601.89967731363004</v>
      </c>
      <c r="J10" s="118"/>
      <c r="K10" s="259" t="s">
        <v>310</v>
      </c>
      <c r="L10" s="159"/>
      <c r="M10" s="160"/>
      <c r="N10" s="120">
        <f>(20*N9)*1.5</f>
        <v>324.16598479072098</v>
      </c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27" customHeight="1">
      <c r="A11" s="259" t="s">
        <v>311</v>
      </c>
      <c r="B11" s="159"/>
      <c r="C11" s="160"/>
      <c r="D11" s="120">
        <f>(20*D9)*2</f>
        <v>377.4864776037976</v>
      </c>
      <c r="E11" s="123"/>
      <c r="F11" s="259" t="s">
        <v>311</v>
      </c>
      <c r="G11" s="159"/>
      <c r="H11" s="160"/>
      <c r="I11" s="120">
        <f>(20*I9)*2</f>
        <v>535.02193538989332</v>
      </c>
      <c r="J11" s="118"/>
      <c r="K11" s="259" t="s">
        <v>312</v>
      </c>
      <c r="L11" s="159"/>
      <c r="M11" s="160"/>
      <c r="N11" s="120">
        <f>(30*N9)*2</f>
        <v>648.33196958144197</v>
      </c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28.5" customHeight="1">
      <c r="A12" s="259" t="s">
        <v>313</v>
      </c>
      <c r="B12" s="159"/>
      <c r="C12" s="160"/>
      <c r="D12" s="120">
        <f>(10*D9)*1.25</f>
        <v>117.96452425118675</v>
      </c>
      <c r="E12" s="124"/>
      <c r="F12" s="259" t="s">
        <v>313</v>
      </c>
      <c r="G12" s="159"/>
      <c r="H12" s="160"/>
      <c r="I12" s="120">
        <f>(10*I9)*1.25</f>
        <v>167.19435480934166</v>
      </c>
      <c r="J12" s="118"/>
      <c r="K12" s="259" t="s">
        <v>314</v>
      </c>
      <c r="L12" s="159"/>
      <c r="M12" s="160"/>
      <c r="N12" s="120">
        <f>(0*N9)*1.25</f>
        <v>0</v>
      </c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30.75" customHeight="1">
      <c r="A13" s="260" t="s">
        <v>315</v>
      </c>
      <c r="B13" s="261"/>
      <c r="C13" s="254"/>
      <c r="D13" s="125">
        <f>SUM(D10:D12)</f>
        <v>920.12328915925673</v>
      </c>
      <c r="E13" s="123"/>
      <c r="F13" s="260" t="s">
        <v>315</v>
      </c>
      <c r="G13" s="261"/>
      <c r="H13" s="254"/>
      <c r="I13" s="125">
        <f>SUM(I10:I12)</f>
        <v>1304.1159675128649</v>
      </c>
      <c r="J13" s="118"/>
      <c r="K13" s="260" t="s">
        <v>315</v>
      </c>
      <c r="L13" s="261"/>
      <c r="M13" s="254"/>
      <c r="N13" s="125">
        <f>SUM(N10:N12)</f>
        <v>972.49795437216289</v>
      </c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>
      <c r="A14" s="264"/>
      <c r="B14" s="173"/>
      <c r="C14" s="173"/>
      <c r="D14" s="126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62.25" customHeight="1">
      <c r="A15" s="262" t="s">
        <v>316</v>
      </c>
      <c r="B15" s="159"/>
      <c r="C15" s="159"/>
      <c r="D15" s="160"/>
      <c r="E15" s="118"/>
      <c r="F15" s="262" t="s">
        <v>317</v>
      </c>
      <c r="G15" s="159"/>
      <c r="H15" s="159"/>
      <c r="I15" s="160"/>
      <c r="J15" s="118"/>
      <c r="K15" s="262" t="s">
        <v>318</v>
      </c>
      <c r="L15" s="159"/>
      <c r="M15" s="159"/>
      <c r="N15" s="16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15" customHeight="1">
      <c r="A16" s="263" t="s">
        <v>303</v>
      </c>
      <c r="B16" s="159"/>
      <c r="C16" s="160"/>
      <c r="D16" s="119">
        <v>1282.27</v>
      </c>
      <c r="E16" s="118"/>
      <c r="F16" s="263" t="s">
        <v>303</v>
      </c>
      <c r="G16" s="159"/>
      <c r="H16" s="160"/>
      <c r="I16" s="119">
        <v>1260.43</v>
      </c>
      <c r="J16" s="118"/>
      <c r="K16" s="263" t="s">
        <v>303</v>
      </c>
      <c r="L16" s="159"/>
      <c r="M16" s="160"/>
      <c r="N16" s="119">
        <v>1443.19</v>
      </c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15" customHeight="1">
      <c r="A17" s="263" t="s">
        <v>304</v>
      </c>
      <c r="B17" s="159"/>
      <c r="C17" s="160"/>
      <c r="D17" s="120">
        <f>1260.43*0.4</f>
        <v>504.17200000000003</v>
      </c>
      <c r="E17" s="118"/>
      <c r="F17" s="263" t="s">
        <v>304</v>
      </c>
      <c r="G17" s="159"/>
      <c r="H17" s="160"/>
      <c r="I17" s="120">
        <f>1260.43*0</f>
        <v>0</v>
      </c>
      <c r="J17" s="118"/>
      <c r="K17" s="265" t="s">
        <v>319</v>
      </c>
      <c r="L17" s="159"/>
      <c r="M17" s="160"/>
      <c r="N17" s="119">
        <f>N16*0.3</f>
        <v>432.95699999999999</v>
      </c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15" customHeight="1">
      <c r="A18" s="259" t="s">
        <v>305</v>
      </c>
      <c r="B18" s="159"/>
      <c r="C18" s="160"/>
      <c r="D18" s="120">
        <f>(D16+D17)/220</f>
        <v>8.1201909090909083</v>
      </c>
      <c r="E18" s="118"/>
      <c r="F18" s="259" t="s">
        <v>305</v>
      </c>
      <c r="G18" s="159"/>
      <c r="H18" s="160"/>
      <c r="I18" s="120">
        <f>(I16+I17)/220</f>
        <v>5.7292272727272726</v>
      </c>
      <c r="J18" s="118"/>
      <c r="K18" s="259" t="s">
        <v>305</v>
      </c>
      <c r="L18" s="159"/>
      <c r="M18" s="160"/>
      <c r="N18" s="120">
        <f>(N16+N17)/220</f>
        <v>8.5279409090909084</v>
      </c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5" customHeight="1">
      <c r="A19" s="259" t="s">
        <v>306</v>
      </c>
      <c r="B19" s="160"/>
      <c r="C19" s="121">
        <v>0.36799999999999999</v>
      </c>
      <c r="D19" s="120">
        <f>D18*C19</f>
        <v>2.9882302545454542</v>
      </c>
      <c r="E19" s="118"/>
      <c r="F19" s="259" t="s">
        <v>306</v>
      </c>
      <c r="G19" s="160"/>
      <c r="H19" s="121">
        <v>0.36799999999999999</v>
      </c>
      <c r="I19" s="120">
        <f>I18*H19</f>
        <v>2.1083556363636364</v>
      </c>
      <c r="J19" s="118"/>
      <c r="K19" s="259" t="s">
        <v>306</v>
      </c>
      <c r="L19" s="160"/>
      <c r="M19" s="121">
        <v>0.36799999999999999</v>
      </c>
      <c r="N19" s="120">
        <f>N18*M19</f>
        <v>3.1382822545454543</v>
      </c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5" customHeight="1">
      <c r="A20" s="259" t="s">
        <v>307</v>
      </c>
      <c r="B20" s="160"/>
      <c r="C20" s="122">
        <v>0.03</v>
      </c>
      <c r="D20" s="120">
        <f>(D18+D19)*C20</f>
        <v>0.33325263490909085</v>
      </c>
      <c r="E20" s="118"/>
      <c r="F20" s="259" t="s">
        <v>307</v>
      </c>
      <c r="G20" s="160"/>
      <c r="H20" s="122">
        <v>0.03</v>
      </c>
      <c r="I20" s="120">
        <f>(I18+I19)*H20</f>
        <v>0.23512748727272725</v>
      </c>
      <c r="J20" s="118"/>
      <c r="K20" s="259" t="s">
        <v>307</v>
      </c>
      <c r="L20" s="160"/>
      <c r="M20" s="122">
        <v>0.03</v>
      </c>
      <c r="N20" s="120">
        <f>(N18+N19)*M20</f>
        <v>0.3499866949090909</v>
      </c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>
      <c r="A21" s="259" t="s">
        <v>201</v>
      </c>
      <c r="B21" s="160"/>
      <c r="C21" s="122">
        <v>6.7900000000000002E-2</v>
      </c>
      <c r="D21" s="120">
        <f>(D18+D19+D20)*C21</f>
        <v>0.7768896509212363</v>
      </c>
      <c r="E21" s="118"/>
      <c r="F21" s="259" t="s">
        <v>201</v>
      </c>
      <c r="G21" s="160"/>
      <c r="H21" s="122">
        <v>6.7900000000000002E-2</v>
      </c>
      <c r="I21" s="120">
        <f>(I18+I19+I20)*H21</f>
        <v>0.54813703591309093</v>
      </c>
      <c r="J21" s="118"/>
      <c r="K21" s="259" t="s">
        <v>201</v>
      </c>
      <c r="L21" s="160"/>
      <c r="M21" s="122">
        <v>6.7900000000000002E-2</v>
      </c>
      <c r="N21" s="120">
        <f>(N18+N19+N20)*M21</f>
        <v>0.81590064939523643</v>
      </c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>
      <c r="A22" s="259" t="s">
        <v>203</v>
      </c>
      <c r="B22" s="160"/>
      <c r="C22" s="121">
        <v>8.6499999999999994E-2</v>
      </c>
      <c r="D22" s="120">
        <f>((D18+D19+D20+D21)/(1-C22))*C22</f>
        <v>1.1569849352806443</v>
      </c>
      <c r="E22" s="118"/>
      <c r="F22" s="259" t="s">
        <v>203</v>
      </c>
      <c r="G22" s="160"/>
      <c r="H22" s="121">
        <v>8.6499999999999994E-2</v>
      </c>
      <c r="I22" s="120">
        <f>((I18+I19+I20+I21)/(1-H22))*H22</f>
        <v>0.81631450781821224</v>
      </c>
      <c r="J22" s="118"/>
      <c r="K22" s="259" t="s">
        <v>203</v>
      </c>
      <c r="L22" s="160"/>
      <c r="M22" s="121">
        <v>8.6499999999999994E-2</v>
      </c>
      <c r="N22" s="120">
        <f>((N18+N19+N20+N21)/(1-M22))*M22</f>
        <v>1.215082166323886</v>
      </c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32.25" customHeight="1">
      <c r="A23" s="259" t="s">
        <v>308</v>
      </c>
      <c r="B23" s="159"/>
      <c r="C23" s="160"/>
      <c r="D23" s="120">
        <f>SUM(D18:D22)</f>
        <v>13.375548384747333</v>
      </c>
      <c r="E23" s="118"/>
      <c r="F23" s="259" t="s">
        <v>308</v>
      </c>
      <c r="G23" s="159"/>
      <c r="H23" s="160"/>
      <c r="I23" s="120">
        <f>SUM(I18:I22)</f>
        <v>9.4371619400949402</v>
      </c>
      <c r="J23" s="118"/>
      <c r="K23" s="259" t="s">
        <v>308</v>
      </c>
      <c r="L23" s="159"/>
      <c r="M23" s="160"/>
      <c r="N23" s="120">
        <f>SUM(N18:N22)</f>
        <v>14.047192674264579</v>
      </c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" customHeight="1">
      <c r="A24" s="259" t="s">
        <v>309</v>
      </c>
      <c r="B24" s="159"/>
      <c r="C24" s="160"/>
      <c r="D24" s="120">
        <f>(30*D23)*1.5</f>
        <v>601.89967731363004</v>
      </c>
      <c r="E24" s="118"/>
      <c r="F24" s="259" t="s">
        <v>310</v>
      </c>
      <c r="G24" s="159"/>
      <c r="H24" s="160"/>
      <c r="I24" s="120">
        <f>(20*I23)*1.5</f>
        <v>283.11485820284821</v>
      </c>
      <c r="J24" s="118"/>
      <c r="K24" s="259" t="s">
        <v>310</v>
      </c>
      <c r="L24" s="159"/>
      <c r="M24" s="160"/>
      <c r="N24" s="120">
        <f>(20*N23)*1.5</f>
        <v>421.41578022793738</v>
      </c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" customHeight="1">
      <c r="A25" s="259" t="s">
        <v>311</v>
      </c>
      <c r="B25" s="159"/>
      <c r="C25" s="160"/>
      <c r="D25" s="120">
        <f>(20*D23)*2</f>
        <v>535.02193538989332</v>
      </c>
      <c r="E25" s="118"/>
      <c r="F25" s="259" t="s">
        <v>312</v>
      </c>
      <c r="G25" s="159"/>
      <c r="H25" s="160"/>
      <c r="I25" s="120">
        <f>(30*I23)*2</f>
        <v>566.22971640569642</v>
      </c>
      <c r="J25" s="118"/>
      <c r="K25" s="259" t="s">
        <v>312</v>
      </c>
      <c r="L25" s="159"/>
      <c r="M25" s="160"/>
      <c r="N25" s="120">
        <f>(30*N23)*2</f>
        <v>842.83156045587475</v>
      </c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" customHeight="1">
      <c r="A26" s="259" t="s">
        <v>313</v>
      </c>
      <c r="B26" s="159"/>
      <c r="C26" s="160"/>
      <c r="D26" s="120">
        <f>(10*D23)*1.25</f>
        <v>167.19435480934166</v>
      </c>
      <c r="E26" s="118"/>
      <c r="F26" s="259" t="s">
        <v>314</v>
      </c>
      <c r="G26" s="159"/>
      <c r="H26" s="160"/>
      <c r="I26" s="120">
        <f>(0*I23)*1.25</f>
        <v>0</v>
      </c>
      <c r="J26" s="118"/>
      <c r="K26" s="259" t="s">
        <v>314</v>
      </c>
      <c r="L26" s="159"/>
      <c r="M26" s="160"/>
      <c r="N26" s="120">
        <f>(0*N23)*1.25</f>
        <v>0</v>
      </c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5" customHeight="1">
      <c r="A27" s="260" t="s">
        <v>315</v>
      </c>
      <c r="B27" s="261"/>
      <c r="C27" s="254"/>
      <c r="D27" s="125">
        <f>SUM(D24:D26)</f>
        <v>1304.1159675128649</v>
      </c>
      <c r="E27" s="118"/>
      <c r="F27" s="260" t="s">
        <v>315</v>
      </c>
      <c r="G27" s="261"/>
      <c r="H27" s="254"/>
      <c r="I27" s="125">
        <f>SUM(I24:I26)</f>
        <v>849.34457460854469</v>
      </c>
      <c r="J27" s="118"/>
      <c r="K27" s="260" t="s">
        <v>315</v>
      </c>
      <c r="L27" s="261"/>
      <c r="M27" s="254"/>
      <c r="N27" s="125">
        <f>SUM(N24:N26)</f>
        <v>1264.2473406838121</v>
      </c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51" customHeight="1">
      <c r="A29" s="262" t="s">
        <v>320</v>
      </c>
      <c r="B29" s="159"/>
      <c r="C29" s="159"/>
      <c r="D29" s="160"/>
      <c r="E29" s="118"/>
      <c r="F29" s="262" t="s">
        <v>321</v>
      </c>
      <c r="G29" s="159"/>
      <c r="H29" s="159"/>
      <c r="I29" s="160"/>
      <c r="J29" s="118"/>
      <c r="K29" s="262" t="s">
        <v>322</v>
      </c>
      <c r="L29" s="159"/>
      <c r="M29" s="159"/>
      <c r="N29" s="16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" customHeight="1">
      <c r="A30" s="263" t="s">
        <v>303</v>
      </c>
      <c r="B30" s="159"/>
      <c r="C30" s="160"/>
      <c r="D30" s="119">
        <v>1443.19</v>
      </c>
      <c r="E30" s="118"/>
      <c r="F30" s="263" t="s">
        <v>303</v>
      </c>
      <c r="G30" s="159"/>
      <c r="H30" s="160"/>
      <c r="I30" s="119">
        <v>1899.04</v>
      </c>
      <c r="J30" s="118"/>
      <c r="K30" s="263" t="s">
        <v>303</v>
      </c>
      <c r="L30" s="159"/>
      <c r="M30" s="160"/>
      <c r="N30" s="119">
        <v>1899.04</v>
      </c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" customHeight="1">
      <c r="A31" s="263" t="s">
        <v>304</v>
      </c>
      <c r="B31" s="159"/>
      <c r="C31" s="160"/>
      <c r="D31" s="120">
        <f>1260.43*0</f>
        <v>0</v>
      </c>
      <c r="E31" s="118"/>
      <c r="F31" s="263" t="s">
        <v>304</v>
      </c>
      <c r="G31" s="159"/>
      <c r="H31" s="160"/>
      <c r="I31" s="120">
        <f>1260.43*0</f>
        <v>0</v>
      </c>
      <c r="J31" s="118"/>
      <c r="K31" s="263" t="s">
        <v>304</v>
      </c>
      <c r="L31" s="159"/>
      <c r="M31" s="160"/>
      <c r="N31" s="120">
        <f>1260.43*0</f>
        <v>0</v>
      </c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" customHeight="1">
      <c r="A32" s="259" t="s">
        <v>305</v>
      </c>
      <c r="B32" s="159"/>
      <c r="C32" s="160"/>
      <c r="D32" s="120">
        <f>(D30+D31)/220</f>
        <v>6.5599545454545458</v>
      </c>
      <c r="E32" s="118"/>
      <c r="F32" s="259" t="s">
        <v>305</v>
      </c>
      <c r="G32" s="159"/>
      <c r="H32" s="160"/>
      <c r="I32" s="120">
        <f>(I30+I31)/220</f>
        <v>8.6319999999999997</v>
      </c>
      <c r="J32" s="118"/>
      <c r="K32" s="259" t="s">
        <v>305</v>
      </c>
      <c r="L32" s="159"/>
      <c r="M32" s="160"/>
      <c r="N32" s="120">
        <f>(N30+N31)/220</f>
        <v>8.6319999999999997</v>
      </c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" customHeight="1">
      <c r="A33" s="259" t="s">
        <v>306</v>
      </c>
      <c r="B33" s="160"/>
      <c r="C33" s="121">
        <v>0.36799999999999999</v>
      </c>
      <c r="D33" s="120">
        <f>D32*C33</f>
        <v>2.4140632727272728</v>
      </c>
      <c r="E33" s="118"/>
      <c r="F33" s="259" t="s">
        <v>306</v>
      </c>
      <c r="G33" s="160"/>
      <c r="H33" s="121">
        <v>0.36799999999999999</v>
      </c>
      <c r="I33" s="120">
        <f>I32*H33</f>
        <v>3.1765759999999998</v>
      </c>
      <c r="J33" s="118"/>
      <c r="K33" s="259" t="s">
        <v>306</v>
      </c>
      <c r="L33" s="160"/>
      <c r="M33" s="121">
        <v>0.36799999999999999</v>
      </c>
      <c r="N33" s="120">
        <f>N32*M33</f>
        <v>3.1765759999999998</v>
      </c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" customHeight="1">
      <c r="A34" s="259" t="s">
        <v>307</v>
      </c>
      <c r="B34" s="160"/>
      <c r="C34" s="122">
        <v>0.03</v>
      </c>
      <c r="D34" s="120">
        <f>(D32+D33)*C34</f>
        <v>0.26922053454545458</v>
      </c>
      <c r="E34" s="118"/>
      <c r="F34" s="259" t="s">
        <v>307</v>
      </c>
      <c r="G34" s="160"/>
      <c r="H34" s="122">
        <v>0.03</v>
      </c>
      <c r="I34" s="120">
        <f>(I32+I33)*H34</f>
        <v>0.35425727999999995</v>
      </c>
      <c r="J34" s="118"/>
      <c r="K34" s="259" t="s">
        <v>307</v>
      </c>
      <c r="L34" s="160"/>
      <c r="M34" s="122">
        <v>0.03</v>
      </c>
      <c r="N34" s="120">
        <f>(N32+N33)*M34</f>
        <v>0.35425727999999995</v>
      </c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" customHeight="1">
      <c r="A35" s="259" t="s">
        <v>201</v>
      </c>
      <c r="B35" s="160"/>
      <c r="C35" s="122">
        <v>6.7900000000000002E-2</v>
      </c>
      <c r="D35" s="120">
        <f>(D32+D33+D34)*C35</f>
        <v>0.62761588415018188</v>
      </c>
      <c r="E35" s="118"/>
      <c r="F35" s="259" t="s">
        <v>201</v>
      </c>
      <c r="G35" s="160"/>
      <c r="H35" s="122">
        <v>6.7900000000000002E-2</v>
      </c>
      <c r="I35" s="120">
        <f>(I32+I33+I34)*H35</f>
        <v>0.82585637971199999</v>
      </c>
      <c r="J35" s="118"/>
      <c r="K35" s="259" t="s">
        <v>201</v>
      </c>
      <c r="L35" s="160"/>
      <c r="M35" s="122">
        <v>6.7900000000000002E-2</v>
      </c>
      <c r="N35" s="120">
        <f>(N32+N33+N34)*M35</f>
        <v>0.82585637971199999</v>
      </c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>
      <c r="A36" s="259" t="s">
        <v>203</v>
      </c>
      <c r="B36" s="160"/>
      <c r="C36" s="121">
        <v>8.6499999999999994E-2</v>
      </c>
      <c r="D36" s="120">
        <f>((D32+D33+D34+D35)/(1-C36))*C36</f>
        <v>0.93467858947991211</v>
      </c>
      <c r="E36" s="118"/>
      <c r="F36" s="259" t="s">
        <v>203</v>
      </c>
      <c r="G36" s="160"/>
      <c r="H36" s="121">
        <v>8.6499999999999994E-2</v>
      </c>
      <c r="I36" s="120">
        <f>((I32+I33+I34+I35)/(1-H36))*H36</f>
        <v>1.229908763618049</v>
      </c>
      <c r="J36" s="118"/>
      <c r="K36" s="259" t="s">
        <v>203</v>
      </c>
      <c r="L36" s="160"/>
      <c r="M36" s="121">
        <v>8.6499999999999994E-2</v>
      </c>
      <c r="N36" s="120">
        <f>((N32+N33+N34+N35)/(1-M36))*M36</f>
        <v>1.229908763618049</v>
      </c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" customHeight="1">
      <c r="A37" s="259" t="s">
        <v>308</v>
      </c>
      <c r="B37" s="159"/>
      <c r="C37" s="160"/>
      <c r="D37" s="120">
        <f>SUM(D32:D36)</f>
        <v>10.805532826357366</v>
      </c>
      <c r="E37" s="118"/>
      <c r="F37" s="259" t="s">
        <v>308</v>
      </c>
      <c r="G37" s="159"/>
      <c r="H37" s="160"/>
      <c r="I37" s="120">
        <f>SUM(I32:I36)</f>
        <v>14.218598423330048</v>
      </c>
      <c r="J37" s="118"/>
      <c r="K37" s="259" t="s">
        <v>308</v>
      </c>
      <c r="L37" s="159"/>
      <c r="M37" s="160"/>
      <c r="N37" s="120">
        <f>SUM(N32:N36)</f>
        <v>14.218598423330048</v>
      </c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" customHeight="1">
      <c r="A38" s="259" t="s">
        <v>309</v>
      </c>
      <c r="B38" s="159"/>
      <c r="C38" s="160"/>
      <c r="D38" s="120">
        <f>(30*D37)*1.5</f>
        <v>486.24897718608145</v>
      </c>
      <c r="E38" s="118"/>
      <c r="F38" s="259" t="s">
        <v>310</v>
      </c>
      <c r="G38" s="159"/>
      <c r="H38" s="160"/>
      <c r="I38" s="120">
        <f>(20*I37)*1.5</f>
        <v>426.55795269990142</v>
      </c>
      <c r="J38" s="118"/>
      <c r="K38" s="259" t="s">
        <v>323</v>
      </c>
      <c r="L38" s="159"/>
      <c r="M38" s="160"/>
      <c r="N38" s="120">
        <f>(10*N37)*1.5</f>
        <v>213.27897634995071</v>
      </c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" customHeight="1">
      <c r="A39" s="259" t="s">
        <v>311</v>
      </c>
      <c r="B39" s="159"/>
      <c r="C39" s="160"/>
      <c r="D39" s="120">
        <f>(20*D37)*2</f>
        <v>432.22131305429463</v>
      </c>
      <c r="E39" s="118"/>
      <c r="F39" s="259" t="s">
        <v>311</v>
      </c>
      <c r="G39" s="159"/>
      <c r="H39" s="160"/>
      <c r="I39" s="120">
        <f>(20*I37)*2</f>
        <v>568.74393693320189</v>
      </c>
      <c r="J39" s="118"/>
      <c r="K39" s="259" t="s">
        <v>324</v>
      </c>
      <c r="L39" s="159"/>
      <c r="M39" s="160"/>
      <c r="N39" s="120">
        <f>(10*N37)*2</f>
        <v>284.37196846660095</v>
      </c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" customHeight="1">
      <c r="A40" s="259" t="s">
        <v>313</v>
      </c>
      <c r="B40" s="159"/>
      <c r="C40" s="160"/>
      <c r="D40" s="120">
        <f>(10*D37)*1.25</f>
        <v>135.06916032946708</v>
      </c>
      <c r="E40" s="118"/>
      <c r="F40" s="259" t="s">
        <v>314</v>
      </c>
      <c r="G40" s="159"/>
      <c r="H40" s="160"/>
      <c r="I40" s="120">
        <f>(0*I37)*1.25</f>
        <v>0</v>
      </c>
      <c r="J40" s="118"/>
      <c r="K40" s="259" t="s">
        <v>314</v>
      </c>
      <c r="L40" s="159"/>
      <c r="M40" s="160"/>
      <c r="N40" s="120">
        <f>(0*N37)*1.25</f>
        <v>0</v>
      </c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" customHeight="1">
      <c r="A41" s="260" t="s">
        <v>315</v>
      </c>
      <c r="B41" s="261"/>
      <c r="C41" s="254"/>
      <c r="D41" s="125">
        <f>SUM(D38:D40)</f>
        <v>1053.5394505698432</v>
      </c>
      <c r="E41" s="118"/>
      <c r="F41" s="260" t="s">
        <v>315</v>
      </c>
      <c r="G41" s="261"/>
      <c r="H41" s="254"/>
      <c r="I41" s="125">
        <f>SUM(I38:I40)</f>
        <v>995.30188963310331</v>
      </c>
      <c r="J41" s="118"/>
      <c r="K41" s="260" t="s">
        <v>315</v>
      </c>
      <c r="L41" s="261"/>
      <c r="M41" s="254"/>
      <c r="N41" s="125">
        <f>SUM(N38:N40)</f>
        <v>497.65094481655166</v>
      </c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57" customHeight="1">
      <c r="A44" s="262" t="s">
        <v>325</v>
      </c>
      <c r="B44" s="159"/>
      <c r="C44" s="159"/>
      <c r="D44" s="160"/>
      <c r="E44" s="118"/>
      <c r="F44" s="262" t="s">
        <v>326</v>
      </c>
      <c r="G44" s="159"/>
      <c r="H44" s="159"/>
      <c r="I44" s="160"/>
      <c r="J44" s="118"/>
      <c r="K44" s="262" t="s">
        <v>327</v>
      </c>
      <c r="L44" s="159"/>
      <c r="M44" s="159"/>
      <c r="N44" s="160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" customHeight="1">
      <c r="A45" s="263" t="s">
        <v>303</v>
      </c>
      <c r="B45" s="159"/>
      <c r="C45" s="160"/>
      <c r="D45" s="119">
        <v>1899.04</v>
      </c>
      <c r="E45" s="118"/>
      <c r="F45" s="263" t="s">
        <v>303</v>
      </c>
      <c r="G45" s="159"/>
      <c r="H45" s="160"/>
      <c r="I45" s="119">
        <v>1260.43</v>
      </c>
      <c r="J45" s="118"/>
      <c r="K45" s="263" t="s">
        <v>303</v>
      </c>
      <c r="L45" s="159"/>
      <c r="M45" s="160"/>
      <c r="N45" s="119">
        <v>0</v>
      </c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" customHeight="1">
      <c r="A46" s="263" t="s">
        <v>304</v>
      </c>
      <c r="B46" s="159"/>
      <c r="C46" s="160"/>
      <c r="D46" s="120">
        <f>1260.43*0.4</f>
        <v>504.17200000000003</v>
      </c>
      <c r="E46" s="118"/>
      <c r="F46" s="263" t="s">
        <v>304</v>
      </c>
      <c r="G46" s="159"/>
      <c r="H46" s="160"/>
      <c r="I46" s="120">
        <f>1260.43*0</f>
        <v>0</v>
      </c>
      <c r="J46" s="118"/>
      <c r="K46" s="263" t="s">
        <v>304</v>
      </c>
      <c r="L46" s="159"/>
      <c r="M46" s="160"/>
      <c r="N46" s="120">
        <f>N45*0</f>
        <v>0</v>
      </c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" customHeight="1">
      <c r="A47" s="259" t="s">
        <v>305</v>
      </c>
      <c r="B47" s="159"/>
      <c r="C47" s="160"/>
      <c r="D47" s="120">
        <f>(D45+D46)/220</f>
        <v>10.92369090909091</v>
      </c>
      <c r="E47" s="118"/>
      <c r="F47" s="259" t="s">
        <v>305</v>
      </c>
      <c r="G47" s="159"/>
      <c r="H47" s="160"/>
      <c r="I47" s="120">
        <f>(I45+I46)/220</f>
        <v>5.7292272727272726</v>
      </c>
      <c r="J47" s="118"/>
      <c r="K47" s="259" t="s">
        <v>305</v>
      </c>
      <c r="L47" s="159"/>
      <c r="M47" s="160"/>
      <c r="N47" s="120">
        <f>(N45+N46)/220</f>
        <v>0</v>
      </c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" customHeight="1">
      <c r="A48" s="259" t="s">
        <v>306</v>
      </c>
      <c r="B48" s="160"/>
      <c r="C48" s="121">
        <v>0.36799999999999999</v>
      </c>
      <c r="D48" s="120">
        <f>D47*C48</f>
        <v>4.0199182545454546</v>
      </c>
      <c r="E48" s="118"/>
      <c r="F48" s="259" t="s">
        <v>306</v>
      </c>
      <c r="G48" s="160"/>
      <c r="H48" s="121">
        <v>0.36799999999999999</v>
      </c>
      <c r="I48" s="120">
        <f>I47*H48</f>
        <v>2.1083556363636364</v>
      </c>
      <c r="J48" s="118"/>
      <c r="K48" s="259" t="s">
        <v>306</v>
      </c>
      <c r="L48" s="160"/>
      <c r="M48" s="121">
        <v>0.71509999999999996</v>
      </c>
      <c r="N48" s="120">
        <f>N47*M48</f>
        <v>0</v>
      </c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" customHeight="1">
      <c r="A49" s="259" t="s">
        <v>307</v>
      </c>
      <c r="B49" s="160"/>
      <c r="C49" s="122">
        <v>0.03</v>
      </c>
      <c r="D49" s="120">
        <f>(D47+D48)*C49</f>
        <v>0.44830827490909086</v>
      </c>
      <c r="E49" s="118"/>
      <c r="F49" s="259" t="s">
        <v>307</v>
      </c>
      <c r="G49" s="160"/>
      <c r="H49" s="122">
        <v>0.03</v>
      </c>
      <c r="I49" s="120">
        <f>(I47+I48)*H49</f>
        <v>0.23512748727272725</v>
      </c>
      <c r="J49" s="118"/>
      <c r="K49" s="259" t="s">
        <v>307</v>
      </c>
      <c r="L49" s="160"/>
      <c r="M49" s="121">
        <v>0.05</v>
      </c>
      <c r="N49" s="120">
        <f>N47*M49</f>
        <v>0</v>
      </c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>
      <c r="A50" s="259" t="s">
        <v>201</v>
      </c>
      <c r="B50" s="160"/>
      <c r="C50" s="122">
        <v>6.7900000000000002E-2</v>
      </c>
      <c r="D50" s="120">
        <f>(D47+D48+D49)*C50</f>
        <v>1.0451111940772364</v>
      </c>
      <c r="E50" s="118"/>
      <c r="F50" s="259" t="s">
        <v>201</v>
      </c>
      <c r="G50" s="160"/>
      <c r="H50" s="122">
        <v>6.7900000000000002E-2</v>
      </c>
      <c r="I50" s="120">
        <f>(I47+I48+I49)*H50</f>
        <v>0.54813703591309093</v>
      </c>
      <c r="J50" s="118"/>
      <c r="K50" s="259" t="s">
        <v>201</v>
      </c>
      <c r="L50" s="160"/>
      <c r="M50" s="121">
        <v>0.1</v>
      </c>
      <c r="N50" s="120">
        <f>N47*M50</f>
        <v>0</v>
      </c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>
      <c r="A51" s="259" t="s">
        <v>203</v>
      </c>
      <c r="B51" s="160"/>
      <c r="C51" s="121">
        <v>8.6499999999999994E-2</v>
      </c>
      <c r="D51" s="120">
        <f>((D47+D48+D49+D50)/(1-C51))*C51</f>
        <v>1.5564345667453341</v>
      </c>
      <c r="E51" s="118"/>
      <c r="F51" s="259" t="s">
        <v>203</v>
      </c>
      <c r="G51" s="160"/>
      <c r="H51" s="121">
        <v>8.6499999999999994E-2</v>
      </c>
      <c r="I51" s="120">
        <f>((I47+I48+I49+I50)/(1-H51))*H51</f>
        <v>0.81631450781821224</v>
      </c>
      <c r="J51" s="118"/>
      <c r="K51" s="259" t="s">
        <v>203</v>
      </c>
      <c r="L51" s="160"/>
      <c r="M51" s="121">
        <v>8.6499999999999994E-2</v>
      </c>
      <c r="N51" s="120">
        <f>N47*M51</f>
        <v>0</v>
      </c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" customHeight="1">
      <c r="A52" s="259" t="s">
        <v>308</v>
      </c>
      <c r="B52" s="159"/>
      <c r="C52" s="160"/>
      <c r="D52" s="120">
        <f>SUM(D47:D51)</f>
        <v>17.993463199368026</v>
      </c>
      <c r="E52" s="118"/>
      <c r="F52" s="259" t="s">
        <v>308</v>
      </c>
      <c r="G52" s="159"/>
      <c r="H52" s="160"/>
      <c r="I52" s="120">
        <f>SUM(I47:I51)</f>
        <v>9.4371619400949402</v>
      </c>
      <c r="J52" s="118"/>
      <c r="K52" s="259" t="s">
        <v>308</v>
      </c>
      <c r="L52" s="159"/>
      <c r="M52" s="160"/>
      <c r="N52" s="120">
        <f>SUM(N47:N51)</f>
        <v>0</v>
      </c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" customHeight="1">
      <c r="A53" s="259" t="s">
        <v>310</v>
      </c>
      <c r="B53" s="159"/>
      <c r="C53" s="160"/>
      <c r="D53" s="120">
        <f>(20*D52)*1.5</f>
        <v>539.8038959810408</v>
      </c>
      <c r="E53" s="118"/>
      <c r="F53" s="259" t="s">
        <v>328</v>
      </c>
      <c r="G53" s="159"/>
      <c r="H53" s="160"/>
      <c r="I53" s="120">
        <f>(0*I52)*1.5</f>
        <v>0</v>
      </c>
      <c r="J53" s="118"/>
      <c r="K53" s="259" t="s">
        <v>329</v>
      </c>
      <c r="L53" s="159"/>
      <c r="M53" s="160"/>
      <c r="N53" s="120">
        <f>(12*N52)*1.5</f>
        <v>0</v>
      </c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" customHeight="1">
      <c r="A54" s="259" t="s">
        <v>311</v>
      </c>
      <c r="B54" s="159"/>
      <c r="C54" s="160"/>
      <c r="D54" s="120">
        <f>(20*D52)*2</f>
        <v>719.73852797472102</v>
      </c>
      <c r="E54" s="118"/>
      <c r="F54" s="259" t="s">
        <v>330</v>
      </c>
      <c r="G54" s="159"/>
      <c r="H54" s="160"/>
      <c r="I54" s="120">
        <f>(0*I52)*2</f>
        <v>0</v>
      </c>
      <c r="J54" s="118"/>
      <c r="K54" s="259" t="s">
        <v>331</v>
      </c>
      <c r="L54" s="159"/>
      <c r="M54" s="160"/>
      <c r="N54" s="120">
        <f>(12*N52)*2</f>
        <v>0</v>
      </c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" customHeight="1">
      <c r="A55" s="259" t="s">
        <v>313</v>
      </c>
      <c r="B55" s="159"/>
      <c r="C55" s="160"/>
      <c r="D55" s="120">
        <f>(10*D52)*1.25</f>
        <v>224.91828999210031</v>
      </c>
      <c r="E55" s="118"/>
      <c r="F55" s="259" t="s">
        <v>314</v>
      </c>
      <c r="G55" s="159"/>
      <c r="H55" s="160"/>
      <c r="I55" s="120">
        <f>(0*I52)*1.25</f>
        <v>0</v>
      </c>
      <c r="J55" s="118"/>
      <c r="K55" s="259" t="s">
        <v>332</v>
      </c>
      <c r="L55" s="159"/>
      <c r="M55" s="160"/>
      <c r="N55" s="120">
        <f>(12*N52)*0.25</f>
        <v>0</v>
      </c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" customHeight="1">
      <c r="A56" s="260" t="s">
        <v>315</v>
      </c>
      <c r="B56" s="261"/>
      <c r="C56" s="254"/>
      <c r="D56" s="125">
        <f>SUM(D53:D55)</f>
        <v>1484.4607139478621</v>
      </c>
      <c r="E56" s="118"/>
      <c r="F56" s="260" t="s">
        <v>315</v>
      </c>
      <c r="G56" s="261"/>
      <c r="H56" s="254"/>
      <c r="I56" s="125">
        <f>SUM(I53:I55)</f>
        <v>0</v>
      </c>
      <c r="J56" s="118"/>
      <c r="K56" s="260" t="s">
        <v>315</v>
      </c>
      <c r="L56" s="261"/>
      <c r="M56" s="254"/>
      <c r="N56" s="125">
        <f>SUM(N53:N55)</f>
        <v>0</v>
      </c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57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" customHeight="1">
      <c r="A59" s="266" t="s">
        <v>333</v>
      </c>
      <c r="B59" s="173"/>
      <c r="C59" s="173"/>
      <c r="D59" s="127">
        <f>D13+I13+N13+D27+I27+N27+D41+I41+N41+D56+I56+N56</f>
        <v>10645.398092816868</v>
      </c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46.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31.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>
      <c r="A87" s="112"/>
      <c r="B87" s="128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158">
    <mergeCell ref="F38:H38"/>
    <mergeCell ref="F39:H39"/>
    <mergeCell ref="F40:H40"/>
    <mergeCell ref="F41:H41"/>
    <mergeCell ref="F44:I44"/>
    <mergeCell ref="F45:H45"/>
    <mergeCell ref="F46:H46"/>
    <mergeCell ref="F47:H47"/>
    <mergeCell ref="A32:C32"/>
    <mergeCell ref="A33:B33"/>
    <mergeCell ref="A34:B34"/>
    <mergeCell ref="A35:B35"/>
    <mergeCell ref="A36:B36"/>
    <mergeCell ref="A37:C37"/>
    <mergeCell ref="F32:H32"/>
    <mergeCell ref="F33:G33"/>
    <mergeCell ref="F34:G34"/>
    <mergeCell ref="F35:G35"/>
    <mergeCell ref="F36:G36"/>
    <mergeCell ref="F37:H37"/>
    <mergeCell ref="A26:C26"/>
    <mergeCell ref="A27:C27"/>
    <mergeCell ref="F27:H27"/>
    <mergeCell ref="A29:D29"/>
    <mergeCell ref="F29:I29"/>
    <mergeCell ref="A30:C30"/>
    <mergeCell ref="F30:H30"/>
    <mergeCell ref="F31:H31"/>
    <mergeCell ref="A31:C31"/>
    <mergeCell ref="F55:H55"/>
    <mergeCell ref="F56:H56"/>
    <mergeCell ref="F48:G48"/>
    <mergeCell ref="F49:G49"/>
    <mergeCell ref="F50:G50"/>
    <mergeCell ref="F51:G51"/>
    <mergeCell ref="F52:H52"/>
    <mergeCell ref="F53:H53"/>
    <mergeCell ref="F54:H54"/>
    <mergeCell ref="A40:C40"/>
    <mergeCell ref="A41:C41"/>
    <mergeCell ref="A44:D44"/>
    <mergeCell ref="A45:C45"/>
    <mergeCell ref="A46:C46"/>
    <mergeCell ref="A54:C54"/>
    <mergeCell ref="A55:C55"/>
    <mergeCell ref="A56:C56"/>
    <mergeCell ref="A59:C59"/>
    <mergeCell ref="A47:C47"/>
    <mergeCell ref="A48:B48"/>
    <mergeCell ref="A49:B49"/>
    <mergeCell ref="A50:B50"/>
    <mergeCell ref="A51:B51"/>
    <mergeCell ref="A52:C52"/>
    <mergeCell ref="A53:C53"/>
    <mergeCell ref="K18:M18"/>
    <mergeCell ref="K19:L19"/>
    <mergeCell ref="K20:L20"/>
    <mergeCell ref="K21:L21"/>
    <mergeCell ref="K22:L22"/>
    <mergeCell ref="K23:M23"/>
    <mergeCell ref="K24:M24"/>
    <mergeCell ref="A38:C38"/>
    <mergeCell ref="A39:C39"/>
    <mergeCell ref="A18:C18"/>
    <mergeCell ref="A19:B19"/>
    <mergeCell ref="A20:B20"/>
    <mergeCell ref="F20:G20"/>
    <mergeCell ref="A21:B21"/>
    <mergeCell ref="F21:G21"/>
    <mergeCell ref="F22:G22"/>
    <mergeCell ref="F25:H25"/>
    <mergeCell ref="F26:H26"/>
    <mergeCell ref="A22:B22"/>
    <mergeCell ref="A23:C23"/>
    <mergeCell ref="F23:H23"/>
    <mergeCell ref="A24:C24"/>
    <mergeCell ref="F24:H24"/>
    <mergeCell ref="A25:C25"/>
    <mergeCell ref="A14:C14"/>
    <mergeCell ref="A15:D15"/>
    <mergeCell ref="A16:C16"/>
    <mergeCell ref="A17:C17"/>
    <mergeCell ref="K10:M10"/>
    <mergeCell ref="K11:M11"/>
    <mergeCell ref="K12:M12"/>
    <mergeCell ref="K13:M13"/>
    <mergeCell ref="K15:N15"/>
    <mergeCell ref="K16:M16"/>
    <mergeCell ref="K17:M17"/>
    <mergeCell ref="A5:B5"/>
    <mergeCell ref="A6:B6"/>
    <mergeCell ref="A7:B7"/>
    <mergeCell ref="A8:B8"/>
    <mergeCell ref="A9:C9"/>
    <mergeCell ref="A10:C10"/>
    <mergeCell ref="A11:C11"/>
    <mergeCell ref="A12:C12"/>
    <mergeCell ref="A13:C13"/>
    <mergeCell ref="F5:G5"/>
    <mergeCell ref="F6:G6"/>
    <mergeCell ref="F7:G7"/>
    <mergeCell ref="F8:G8"/>
    <mergeCell ref="F9:H9"/>
    <mergeCell ref="K2:M2"/>
    <mergeCell ref="K3:M3"/>
    <mergeCell ref="K5:L5"/>
    <mergeCell ref="K6:L6"/>
    <mergeCell ref="K7:L7"/>
    <mergeCell ref="K8:L8"/>
    <mergeCell ref="K9:M9"/>
    <mergeCell ref="A1:D1"/>
    <mergeCell ref="F1:I1"/>
    <mergeCell ref="K1:N1"/>
    <mergeCell ref="A2:C2"/>
    <mergeCell ref="F2:H2"/>
    <mergeCell ref="A3:C3"/>
    <mergeCell ref="K4:M4"/>
    <mergeCell ref="F3:H3"/>
    <mergeCell ref="F4:H4"/>
    <mergeCell ref="A4:C4"/>
    <mergeCell ref="K53:M53"/>
    <mergeCell ref="K54:M54"/>
    <mergeCell ref="K55:M55"/>
    <mergeCell ref="K56:M56"/>
    <mergeCell ref="K40:M40"/>
    <mergeCell ref="K41:M41"/>
    <mergeCell ref="K44:N44"/>
    <mergeCell ref="K45:M45"/>
    <mergeCell ref="K46:M46"/>
    <mergeCell ref="K47:M47"/>
    <mergeCell ref="K48:L48"/>
    <mergeCell ref="K35:L35"/>
    <mergeCell ref="K36:L36"/>
    <mergeCell ref="K37:M37"/>
    <mergeCell ref="K38:M38"/>
    <mergeCell ref="K39:M39"/>
    <mergeCell ref="K49:L49"/>
    <mergeCell ref="K50:L50"/>
    <mergeCell ref="K51:L51"/>
    <mergeCell ref="K52:M52"/>
    <mergeCell ref="K25:M25"/>
    <mergeCell ref="K26:M26"/>
    <mergeCell ref="K27:M27"/>
    <mergeCell ref="K29:N29"/>
    <mergeCell ref="K30:M30"/>
    <mergeCell ref="K31:M31"/>
    <mergeCell ref="K32:M32"/>
    <mergeCell ref="K33:L33"/>
    <mergeCell ref="K34:L34"/>
    <mergeCell ref="F18:H18"/>
    <mergeCell ref="F19:G19"/>
    <mergeCell ref="F10:H10"/>
    <mergeCell ref="F11:H11"/>
    <mergeCell ref="F12:H12"/>
    <mergeCell ref="F13:H13"/>
    <mergeCell ref="F15:I15"/>
    <mergeCell ref="F16:H16"/>
    <mergeCell ref="F17:H17"/>
  </mergeCells>
  <pageMargins left="0.511811024" right="0.511811024" top="0.78740157499999996" bottom="0.78740157499999996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3" width="9.140625" customWidth="1"/>
    <col min="4" max="4" width="11.140625" customWidth="1"/>
    <col min="5" max="5" width="9.140625" customWidth="1"/>
    <col min="6" max="6" width="11.5703125" customWidth="1"/>
    <col min="7" max="7" width="9.42578125" customWidth="1"/>
    <col min="8" max="13" width="9.140625" customWidth="1"/>
    <col min="14" max="26" width="8.7109375" customWidth="1"/>
  </cols>
  <sheetData>
    <row r="1" spans="1:26">
      <c r="A1" s="129" t="s">
        <v>334</v>
      </c>
      <c r="B1" s="112"/>
      <c r="C1" s="130"/>
      <c r="D1" s="112"/>
      <c r="E1" s="112"/>
      <c r="F1" s="130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>
      <c r="A2" s="112"/>
      <c r="B2" s="112"/>
      <c r="C2" s="112"/>
      <c r="D2" s="112"/>
      <c r="E2" s="112"/>
      <c r="F2" s="130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>
      <c r="A3" s="112"/>
      <c r="B3" s="112"/>
      <c r="C3" s="130"/>
      <c r="D3" s="112"/>
      <c r="E3" s="112"/>
      <c r="F3" s="130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15.75" customHeight="1">
      <c r="A4" s="112"/>
      <c r="B4" s="112"/>
      <c r="C4" s="267" t="s">
        <v>335</v>
      </c>
      <c r="D4" s="268"/>
      <c r="E4" s="268"/>
      <c r="F4" s="268"/>
      <c r="G4" s="210"/>
      <c r="H4" s="112"/>
      <c r="I4" s="267" t="s">
        <v>335</v>
      </c>
      <c r="J4" s="268"/>
      <c r="K4" s="268"/>
      <c r="L4" s="268"/>
      <c r="M4" s="210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38.25" customHeight="1">
      <c r="A5" s="112"/>
      <c r="B5" s="112"/>
      <c r="C5" s="269" t="s">
        <v>336</v>
      </c>
      <c r="D5" s="268"/>
      <c r="E5" s="268"/>
      <c r="F5" s="268"/>
      <c r="G5" s="210"/>
      <c r="H5" s="112"/>
      <c r="I5" s="269" t="s">
        <v>337</v>
      </c>
      <c r="J5" s="268"/>
      <c r="K5" s="268"/>
      <c r="L5" s="268"/>
      <c r="M5" s="21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25.5">
      <c r="A6" s="112"/>
      <c r="B6" s="112"/>
      <c r="C6" s="131" t="s">
        <v>1</v>
      </c>
      <c r="D6" s="132" t="s">
        <v>338</v>
      </c>
      <c r="E6" s="132" t="s">
        <v>5</v>
      </c>
      <c r="F6" s="132" t="s">
        <v>4</v>
      </c>
      <c r="G6" s="132" t="s">
        <v>339</v>
      </c>
      <c r="H6" s="112"/>
      <c r="I6" s="131" t="s">
        <v>1</v>
      </c>
      <c r="J6" s="132" t="s">
        <v>338</v>
      </c>
      <c r="K6" s="132" t="s">
        <v>5</v>
      </c>
      <c r="L6" s="132" t="s">
        <v>4</v>
      </c>
      <c r="M6" s="132" t="s">
        <v>339</v>
      </c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>
      <c r="A7" s="112"/>
      <c r="B7" s="112"/>
      <c r="C7" s="133">
        <v>1</v>
      </c>
      <c r="D7" s="134" t="s">
        <v>340</v>
      </c>
      <c r="E7" s="135">
        <v>4</v>
      </c>
      <c r="F7" s="136">
        <f>(60+85+63)/3</f>
        <v>69.333333333333329</v>
      </c>
      <c r="G7" s="137">
        <f t="shared" ref="G7:G10" si="0">F7*E7</f>
        <v>277.33333333333331</v>
      </c>
      <c r="H7" s="112"/>
      <c r="I7" s="133">
        <v>1</v>
      </c>
      <c r="J7" s="134" t="s">
        <v>340</v>
      </c>
      <c r="K7" s="135">
        <v>6</v>
      </c>
      <c r="L7" s="136">
        <f>(60+85+63)/3</f>
        <v>69.333333333333329</v>
      </c>
      <c r="M7" s="137">
        <f t="shared" ref="M7:M10" si="1">L7*K7</f>
        <v>416</v>
      </c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>
      <c r="A8" s="112"/>
      <c r="B8" s="112"/>
      <c r="C8" s="133">
        <v>2</v>
      </c>
      <c r="D8" s="134" t="s">
        <v>341</v>
      </c>
      <c r="E8" s="135">
        <v>4</v>
      </c>
      <c r="F8" s="136">
        <f>(52.1+42.9+40.3)/3</f>
        <v>45.1</v>
      </c>
      <c r="G8" s="137">
        <f t="shared" si="0"/>
        <v>180.4</v>
      </c>
      <c r="H8" s="112"/>
      <c r="I8" s="133">
        <v>2</v>
      </c>
      <c r="J8" s="134" t="s">
        <v>341</v>
      </c>
      <c r="K8" s="135">
        <v>6</v>
      </c>
      <c r="L8" s="136">
        <f>(52.1+42.9+40.3)/3</f>
        <v>45.1</v>
      </c>
      <c r="M8" s="137">
        <f t="shared" si="1"/>
        <v>270.60000000000002</v>
      </c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>
      <c r="A9" s="112"/>
      <c r="B9" s="112"/>
      <c r="C9" s="133">
        <v>3</v>
      </c>
      <c r="D9" s="134" t="s">
        <v>342</v>
      </c>
      <c r="E9" s="135">
        <v>4</v>
      </c>
      <c r="F9" s="136">
        <f>(11+9.9+13.9)/3</f>
        <v>11.6</v>
      </c>
      <c r="G9" s="137">
        <f t="shared" si="0"/>
        <v>46.4</v>
      </c>
      <c r="H9" s="112"/>
      <c r="I9" s="133">
        <v>3</v>
      </c>
      <c r="J9" s="134" t="s">
        <v>342</v>
      </c>
      <c r="K9" s="135">
        <v>6</v>
      </c>
      <c r="L9" s="136">
        <f>(11+9.9+13.9)/3</f>
        <v>11.6</v>
      </c>
      <c r="M9" s="137">
        <f t="shared" si="1"/>
        <v>69.599999999999994</v>
      </c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30">
      <c r="A10" s="112"/>
      <c r="B10" s="112"/>
      <c r="C10" s="133">
        <v>4</v>
      </c>
      <c r="D10" s="134" t="s">
        <v>343</v>
      </c>
      <c r="E10" s="135">
        <v>4</v>
      </c>
      <c r="F10" s="136">
        <f>(8.3+8.63+7.99)/3</f>
        <v>8.3066666666666666</v>
      </c>
      <c r="G10" s="137">
        <f t="shared" si="0"/>
        <v>33.226666666666667</v>
      </c>
      <c r="H10" s="112"/>
      <c r="I10" s="133">
        <v>4</v>
      </c>
      <c r="J10" s="134" t="s">
        <v>343</v>
      </c>
      <c r="K10" s="135">
        <v>6</v>
      </c>
      <c r="L10" s="136">
        <f>(8.3+8.63+7.99)/3</f>
        <v>8.3066666666666666</v>
      </c>
      <c r="M10" s="137">
        <f t="shared" si="1"/>
        <v>49.84</v>
      </c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5.75" customHeight="1">
      <c r="A11" s="112"/>
      <c r="B11" s="112"/>
      <c r="C11" s="270" t="s">
        <v>344</v>
      </c>
      <c r="D11" s="268"/>
      <c r="E11" s="268"/>
      <c r="F11" s="210"/>
      <c r="G11" s="138">
        <f>G7+G8+G9+G10</f>
        <v>537.36</v>
      </c>
      <c r="H11" s="112"/>
      <c r="I11" s="270" t="s">
        <v>344</v>
      </c>
      <c r="J11" s="268"/>
      <c r="K11" s="268"/>
      <c r="L11" s="210"/>
      <c r="M11" s="138">
        <f>M7+M8+M9+M10</f>
        <v>806.04000000000008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15.75" customHeight="1">
      <c r="A12" s="112"/>
      <c r="B12" s="112"/>
      <c r="C12" s="269" t="s">
        <v>345</v>
      </c>
      <c r="D12" s="268"/>
      <c r="E12" s="268"/>
      <c r="F12" s="210"/>
      <c r="G12" s="139">
        <f>G11/12</f>
        <v>44.78</v>
      </c>
      <c r="H12" s="112"/>
      <c r="I12" s="269" t="s">
        <v>345</v>
      </c>
      <c r="J12" s="268"/>
      <c r="K12" s="268"/>
      <c r="L12" s="210"/>
      <c r="M12" s="139">
        <f>M11/12</f>
        <v>67.17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>
      <c r="A13" s="112"/>
      <c r="B13" s="112"/>
      <c r="C13" s="130"/>
      <c r="D13" s="112"/>
      <c r="E13" s="112"/>
      <c r="F13" s="130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15.75" customHeight="1">
      <c r="A14" s="112"/>
      <c r="B14" s="112"/>
      <c r="C14" s="267" t="s">
        <v>335</v>
      </c>
      <c r="D14" s="268"/>
      <c r="E14" s="268"/>
      <c r="F14" s="268"/>
      <c r="G14" s="210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5.75" customHeight="1">
      <c r="A15" s="112"/>
      <c r="B15" s="112"/>
      <c r="C15" s="269" t="s">
        <v>284</v>
      </c>
      <c r="D15" s="268"/>
      <c r="E15" s="268"/>
      <c r="F15" s="268"/>
      <c r="G15" s="210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25.5">
      <c r="A16" s="112"/>
      <c r="B16" s="112"/>
      <c r="C16" s="131" t="s">
        <v>1</v>
      </c>
      <c r="D16" s="132" t="s">
        <v>338</v>
      </c>
      <c r="E16" s="132" t="s">
        <v>5</v>
      </c>
      <c r="F16" s="132" t="s">
        <v>4</v>
      </c>
      <c r="G16" s="132" t="s">
        <v>339</v>
      </c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>
      <c r="A17" s="112"/>
      <c r="B17" s="112"/>
      <c r="C17" s="133">
        <v>1</v>
      </c>
      <c r="D17" s="134" t="s">
        <v>340</v>
      </c>
      <c r="E17" s="135">
        <v>4</v>
      </c>
      <c r="F17" s="136">
        <f>(89.88+99.9+129.9)/3</f>
        <v>106.56</v>
      </c>
      <c r="G17" s="137">
        <f t="shared" ref="G17:G19" si="2">F17*E17</f>
        <v>426.24</v>
      </c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>
      <c r="A18" s="112"/>
      <c r="B18" s="112"/>
      <c r="C18" s="133">
        <v>2</v>
      </c>
      <c r="D18" s="134" t="s">
        <v>341</v>
      </c>
      <c r="E18" s="135">
        <v>4</v>
      </c>
      <c r="F18" s="136">
        <f>(52.1+42.9+40.3)/3</f>
        <v>45.1</v>
      </c>
      <c r="G18" s="137">
        <f t="shared" si="2"/>
        <v>180.4</v>
      </c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30">
      <c r="A19" s="112"/>
      <c r="B19" s="112"/>
      <c r="C19" s="133">
        <v>4</v>
      </c>
      <c r="D19" s="134" t="s">
        <v>343</v>
      </c>
      <c r="E19" s="135">
        <v>4</v>
      </c>
      <c r="F19" s="136">
        <f>(8.3+8.63+7.99)/3</f>
        <v>8.3066666666666666</v>
      </c>
      <c r="G19" s="137">
        <f t="shared" si="2"/>
        <v>33.226666666666667</v>
      </c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5.75" customHeight="1">
      <c r="A20" s="112"/>
      <c r="B20" s="112"/>
      <c r="C20" s="270" t="s">
        <v>344</v>
      </c>
      <c r="D20" s="268"/>
      <c r="E20" s="268"/>
      <c r="F20" s="210"/>
      <c r="G20" s="138">
        <f>G17+G18+G19</f>
        <v>639.86666666666667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>
      <c r="A21" s="112"/>
      <c r="B21" s="112"/>
      <c r="C21" s="269" t="s">
        <v>345</v>
      </c>
      <c r="D21" s="268"/>
      <c r="E21" s="268"/>
      <c r="F21" s="210"/>
      <c r="G21" s="139">
        <f>G20/12</f>
        <v>53.322222222222223</v>
      </c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>
      <c r="A22" s="112"/>
      <c r="B22" s="112"/>
      <c r="C22" s="130"/>
      <c r="D22" s="112"/>
      <c r="E22" s="112"/>
      <c r="F22" s="130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5.75" customHeight="1">
      <c r="A23" s="112"/>
      <c r="B23" s="112"/>
      <c r="C23" s="267" t="s">
        <v>335</v>
      </c>
      <c r="D23" s="268"/>
      <c r="E23" s="268"/>
      <c r="F23" s="268"/>
      <c r="G23" s="210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.75" customHeight="1">
      <c r="A24" s="112"/>
      <c r="B24" s="112"/>
      <c r="C24" s="269" t="s">
        <v>274</v>
      </c>
      <c r="D24" s="268"/>
      <c r="E24" s="268"/>
      <c r="F24" s="268"/>
      <c r="G24" s="210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.75" customHeight="1">
      <c r="A25" s="112"/>
      <c r="B25" s="112"/>
      <c r="C25" s="131" t="s">
        <v>1</v>
      </c>
      <c r="D25" s="132" t="s">
        <v>338</v>
      </c>
      <c r="E25" s="132" t="s">
        <v>5</v>
      </c>
      <c r="F25" s="132" t="s">
        <v>4</v>
      </c>
      <c r="G25" s="132" t="s">
        <v>339</v>
      </c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.75" customHeight="1">
      <c r="A26" s="112"/>
      <c r="B26" s="112"/>
      <c r="C26" s="133">
        <v>1</v>
      </c>
      <c r="D26" s="134" t="s">
        <v>340</v>
      </c>
      <c r="E26" s="135">
        <v>4</v>
      </c>
      <c r="F26" s="136">
        <f>(195+256.99+275)/3</f>
        <v>242.33</v>
      </c>
      <c r="G26" s="137">
        <f>F26*E26</f>
        <v>969.32</v>
      </c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5.75" customHeight="1">
      <c r="A27" s="112"/>
      <c r="B27" s="112"/>
      <c r="C27" s="270" t="s">
        <v>344</v>
      </c>
      <c r="D27" s="268"/>
      <c r="E27" s="268"/>
      <c r="F27" s="210"/>
      <c r="G27" s="138">
        <f>G26</f>
        <v>969.32</v>
      </c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>
      <c r="A28" s="112"/>
      <c r="B28" s="112"/>
      <c r="C28" s="269" t="s">
        <v>345</v>
      </c>
      <c r="D28" s="268"/>
      <c r="E28" s="268"/>
      <c r="F28" s="210"/>
      <c r="G28" s="139">
        <f>G27/12</f>
        <v>80.776666666666671</v>
      </c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5.75" customHeight="1">
      <c r="A29" s="112"/>
      <c r="B29" s="112"/>
      <c r="C29" s="130"/>
      <c r="D29" s="112"/>
      <c r="E29" s="112"/>
      <c r="F29" s="130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.75" customHeight="1">
      <c r="A30" s="112"/>
      <c r="B30" s="112"/>
      <c r="C30" s="267" t="s">
        <v>335</v>
      </c>
      <c r="D30" s="268"/>
      <c r="E30" s="268"/>
      <c r="F30" s="268"/>
      <c r="G30" s="210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.75" customHeight="1">
      <c r="A31" s="112"/>
      <c r="B31" s="112"/>
      <c r="C31" s="269" t="s">
        <v>346</v>
      </c>
      <c r="D31" s="268"/>
      <c r="E31" s="268"/>
      <c r="F31" s="268"/>
      <c r="G31" s="210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.75" customHeight="1">
      <c r="A32" s="112"/>
      <c r="B32" s="112"/>
      <c r="C32" s="131" t="s">
        <v>1</v>
      </c>
      <c r="D32" s="132" t="s">
        <v>338</v>
      </c>
      <c r="E32" s="132" t="s">
        <v>5</v>
      </c>
      <c r="F32" s="132" t="s">
        <v>4</v>
      </c>
      <c r="G32" s="132" t="s">
        <v>339</v>
      </c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.75" customHeight="1">
      <c r="A33" s="112"/>
      <c r="B33" s="112"/>
      <c r="C33" s="140">
        <v>1</v>
      </c>
      <c r="D33" s="141" t="s">
        <v>347</v>
      </c>
      <c r="E33" s="141">
        <v>4</v>
      </c>
      <c r="F33" s="142">
        <f>(60+49.9+80)/3</f>
        <v>63.300000000000004</v>
      </c>
      <c r="G33" s="142">
        <f t="shared" ref="G33:G34" si="3">F33*E33</f>
        <v>253.20000000000002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.75" customHeight="1">
      <c r="A34" s="112"/>
      <c r="B34" s="112"/>
      <c r="C34" s="140">
        <v>2</v>
      </c>
      <c r="D34" s="141" t="s">
        <v>340</v>
      </c>
      <c r="E34" s="141">
        <v>4</v>
      </c>
      <c r="F34" s="142">
        <f>(69+66+60)/3</f>
        <v>65</v>
      </c>
      <c r="G34" s="142">
        <f t="shared" si="3"/>
        <v>260</v>
      </c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.75" customHeight="1">
      <c r="A35" s="112"/>
      <c r="B35" s="112"/>
      <c r="C35" s="270" t="s">
        <v>344</v>
      </c>
      <c r="D35" s="268"/>
      <c r="E35" s="268"/>
      <c r="F35" s="210"/>
      <c r="G35" s="138">
        <f>G33+G34</f>
        <v>513.20000000000005</v>
      </c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>
      <c r="A36" s="112"/>
      <c r="B36" s="112"/>
      <c r="C36" s="269" t="s">
        <v>345</v>
      </c>
      <c r="D36" s="268"/>
      <c r="E36" s="268"/>
      <c r="F36" s="210"/>
      <c r="G36" s="139">
        <f>G35/12</f>
        <v>42.766666666666673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.75" customHeight="1">
      <c r="A37" s="112"/>
      <c r="B37" s="112"/>
      <c r="C37" s="130"/>
      <c r="D37" s="112"/>
      <c r="E37" s="112"/>
      <c r="F37" s="130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.75" customHeight="1">
      <c r="A38" s="112"/>
      <c r="B38" s="112"/>
      <c r="C38" s="130"/>
      <c r="D38" s="112"/>
      <c r="E38" s="112"/>
      <c r="F38" s="130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.75" customHeight="1">
      <c r="A39" s="112"/>
      <c r="B39" s="112"/>
      <c r="C39" s="130"/>
      <c r="D39" s="112"/>
      <c r="E39" s="112"/>
      <c r="F39" s="130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.75" customHeight="1">
      <c r="A40" s="112"/>
      <c r="B40" s="112"/>
      <c r="C40" s="130"/>
      <c r="D40" s="112"/>
      <c r="E40" s="112"/>
      <c r="F40" s="130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.75" customHeight="1">
      <c r="A41" s="112"/>
      <c r="B41" s="112"/>
      <c r="C41" s="130"/>
      <c r="D41" s="112"/>
      <c r="E41" s="112"/>
      <c r="F41" s="130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.75" customHeight="1">
      <c r="A42" s="112"/>
      <c r="B42" s="112"/>
      <c r="C42" s="130"/>
      <c r="D42" s="112"/>
      <c r="E42" s="112"/>
      <c r="F42" s="130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>
      <c r="A43" s="112"/>
      <c r="B43" s="112"/>
      <c r="C43" s="130"/>
      <c r="D43" s="112"/>
      <c r="E43" s="112"/>
      <c r="F43" s="130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5.75" customHeight="1">
      <c r="A44" s="112"/>
      <c r="B44" s="112"/>
      <c r="C44" s="130"/>
      <c r="D44" s="112"/>
      <c r="E44" s="112"/>
      <c r="F44" s="130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.75" customHeight="1">
      <c r="A45" s="112"/>
      <c r="B45" s="112"/>
      <c r="C45" s="130"/>
      <c r="D45" s="112"/>
      <c r="E45" s="112"/>
      <c r="F45" s="130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.75" customHeight="1">
      <c r="A46" s="112"/>
      <c r="B46" s="112"/>
      <c r="C46" s="130"/>
      <c r="D46" s="112"/>
      <c r="E46" s="112"/>
      <c r="F46" s="130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.75" customHeight="1">
      <c r="A47" s="112"/>
      <c r="B47" s="112"/>
      <c r="C47" s="130"/>
      <c r="D47" s="112"/>
      <c r="E47" s="112"/>
      <c r="F47" s="130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.75" customHeight="1">
      <c r="A48" s="112"/>
      <c r="B48" s="112"/>
      <c r="C48" s="130"/>
      <c r="D48" s="112"/>
      <c r="E48" s="112"/>
      <c r="F48" s="130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.75" customHeight="1">
      <c r="A49" s="112"/>
      <c r="B49" s="112"/>
      <c r="C49" s="130"/>
      <c r="D49" s="112"/>
      <c r="E49" s="112"/>
      <c r="F49" s="130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>
      <c r="A50" s="112"/>
      <c r="B50" s="112"/>
      <c r="C50" s="130"/>
      <c r="D50" s="112"/>
      <c r="E50" s="112"/>
      <c r="F50" s="130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>
      <c r="A51" s="112"/>
      <c r="B51" s="112"/>
      <c r="C51" s="130"/>
      <c r="D51" s="112"/>
      <c r="E51" s="112"/>
      <c r="F51" s="130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.75" customHeight="1">
      <c r="A52" s="112"/>
      <c r="B52" s="112"/>
      <c r="C52" s="130"/>
      <c r="D52" s="112"/>
      <c r="E52" s="112"/>
      <c r="F52" s="130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.75" customHeight="1">
      <c r="A53" s="112"/>
      <c r="B53" s="112"/>
      <c r="C53" s="130"/>
      <c r="D53" s="112"/>
      <c r="E53" s="112"/>
      <c r="F53" s="130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.75" customHeight="1">
      <c r="A54" s="112"/>
      <c r="B54" s="112"/>
      <c r="C54" s="130"/>
      <c r="D54" s="112"/>
      <c r="E54" s="112"/>
      <c r="F54" s="130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.75" customHeight="1">
      <c r="A55" s="112"/>
      <c r="B55" s="112"/>
      <c r="C55" s="130"/>
      <c r="D55" s="112"/>
      <c r="E55" s="112"/>
      <c r="F55" s="130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.75" customHeight="1">
      <c r="A56" s="112"/>
      <c r="B56" s="112"/>
      <c r="C56" s="130"/>
      <c r="D56" s="112"/>
      <c r="E56" s="112"/>
      <c r="F56" s="130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>
      <c r="A57" s="112"/>
      <c r="B57" s="112"/>
      <c r="C57" s="130"/>
      <c r="D57" s="112"/>
      <c r="E57" s="112"/>
      <c r="F57" s="130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5.75" customHeight="1">
      <c r="A58" s="112"/>
      <c r="B58" s="112"/>
      <c r="C58" s="130"/>
      <c r="D58" s="112"/>
      <c r="E58" s="112"/>
      <c r="F58" s="130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.75" customHeight="1">
      <c r="A59" s="112"/>
      <c r="B59" s="112"/>
      <c r="C59" s="130"/>
      <c r="D59" s="112"/>
      <c r="E59" s="112"/>
      <c r="F59" s="130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.75" customHeight="1">
      <c r="A60" s="112"/>
      <c r="B60" s="112"/>
      <c r="C60" s="130"/>
      <c r="D60" s="112"/>
      <c r="E60" s="112"/>
      <c r="F60" s="130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.75" customHeight="1">
      <c r="A61" s="112"/>
      <c r="B61" s="112"/>
      <c r="C61" s="130"/>
      <c r="D61" s="112"/>
      <c r="E61" s="112"/>
      <c r="F61" s="130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.75" customHeight="1">
      <c r="A62" s="112"/>
      <c r="B62" s="112"/>
      <c r="C62" s="130"/>
      <c r="D62" s="112"/>
      <c r="E62" s="112"/>
      <c r="F62" s="130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.75" customHeight="1">
      <c r="A63" s="112"/>
      <c r="B63" s="112"/>
      <c r="C63" s="130"/>
      <c r="D63" s="112"/>
      <c r="E63" s="112"/>
      <c r="F63" s="130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>
      <c r="A64" s="112"/>
      <c r="B64" s="112"/>
      <c r="C64" s="130"/>
      <c r="D64" s="112"/>
      <c r="E64" s="112"/>
      <c r="F64" s="130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>
      <c r="A65" s="112"/>
      <c r="B65" s="112"/>
      <c r="C65" s="130"/>
      <c r="D65" s="112"/>
      <c r="E65" s="112"/>
      <c r="F65" s="130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.75" customHeight="1">
      <c r="A66" s="112"/>
      <c r="B66" s="112"/>
      <c r="C66" s="130"/>
      <c r="D66" s="112"/>
      <c r="E66" s="112"/>
      <c r="F66" s="130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.75" customHeight="1">
      <c r="A67" s="112"/>
      <c r="B67" s="112"/>
      <c r="C67" s="130"/>
      <c r="D67" s="112"/>
      <c r="E67" s="112"/>
      <c r="F67" s="130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.75" customHeight="1">
      <c r="A68" s="112"/>
      <c r="B68" s="112"/>
      <c r="C68" s="130"/>
      <c r="D68" s="112"/>
      <c r="E68" s="112"/>
      <c r="F68" s="130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.75" customHeight="1">
      <c r="A69" s="112"/>
      <c r="B69" s="112"/>
      <c r="C69" s="130"/>
      <c r="D69" s="112"/>
      <c r="E69" s="112"/>
      <c r="F69" s="130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.75" customHeight="1">
      <c r="A70" s="112"/>
      <c r="B70" s="112"/>
      <c r="C70" s="130"/>
      <c r="D70" s="112"/>
      <c r="E70" s="112"/>
      <c r="F70" s="130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>
      <c r="A71" s="112"/>
      <c r="B71" s="112"/>
      <c r="C71" s="130"/>
      <c r="D71" s="112"/>
      <c r="E71" s="112"/>
      <c r="F71" s="130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 customHeight="1">
      <c r="A72" s="112"/>
      <c r="B72" s="112"/>
      <c r="C72" s="130"/>
      <c r="D72" s="112"/>
      <c r="E72" s="112"/>
      <c r="F72" s="130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 customHeight="1">
      <c r="A73" s="112"/>
      <c r="B73" s="112"/>
      <c r="C73" s="130"/>
      <c r="D73" s="112"/>
      <c r="E73" s="112"/>
      <c r="F73" s="130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 customHeight="1">
      <c r="A74" s="112"/>
      <c r="B74" s="112"/>
      <c r="C74" s="130"/>
      <c r="D74" s="112"/>
      <c r="E74" s="112"/>
      <c r="F74" s="130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 customHeight="1">
      <c r="A75" s="112"/>
      <c r="B75" s="112"/>
      <c r="C75" s="130"/>
      <c r="D75" s="112"/>
      <c r="E75" s="112"/>
      <c r="F75" s="130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 customHeight="1">
      <c r="A76" s="112"/>
      <c r="B76" s="112"/>
      <c r="C76" s="130"/>
      <c r="D76" s="112"/>
      <c r="E76" s="112"/>
      <c r="F76" s="130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 customHeight="1">
      <c r="A77" s="112"/>
      <c r="B77" s="112"/>
      <c r="C77" s="130"/>
      <c r="D77" s="112"/>
      <c r="E77" s="112"/>
      <c r="F77" s="130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>
      <c r="A78" s="112"/>
      <c r="B78" s="112"/>
      <c r="C78" s="130"/>
      <c r="D78" s="112"/>
      <c r="E78" s="112"/>
      <c r="F78" s="130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>
      <c r="A79" s="112"/>
      <c r="B79" s="112"/>
      <c r="C79" s="130"/>
      <c r="D79" s="112"/>
      <c r="E79" s="112"/>
      <c r="F79" s="130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.75" customHeight="1">
      <c r="A80" s="112"/>
      <c r="B80" s="112"/>
      <c r="C80" s="130"/>
      <c r="D80" s="112"/>
      <c r="E80" s="112"/>
      <c r="F80" s="130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.75" customHeight="1">
      <c r="A81" s="112"/>
      <c r="B81" s="112"/>
      <c r="C81" s="130"/>
      <c r="D81" s="112"/>
      <c r="E81" s="112"/>
      <c r="F81" s="130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.75" customHeight="1">
      <c r="A82" s="112"/>
      <c r="B82" s="112"/>
      <c r="C82" s="130"/>
      <c r="D82" s="112"/>
      <c r="E82" s="112"/>
      <c r="F82" s="130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.75" customHeight="1">
      <c r="A83" s="112"/>
      <c r="B83" s="112"/>
      <c r="C83" s="130"/>
      <c r="D83" s="112"/>
      <c r="E83" s="112"/>
      <c r="F83" s="130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5.75" customHeight="1">
      <c r="A84" s="112"/>
      <c r="B84" s="112"/>
      <c r="C84" s="130"/>
      <c r="D84" s="112"/>
      <c r="E84" s="112"/>
      <c r="F84" s="130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>
      <c r="A85" s="112"/>
      <c r="B85" s="112"/>
      <c r="C85" s="130"/>
      <c r="D85" s="112"/>
      <c r="E85" s="112"/>
      <c r="F85" s="130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>
      <c r="A86" s="112"/>
      <c r="B86" s="112"/>
      <c r="C86" s="130"/>
      <c r="D86" s="112"/>
      <c r="E86" s="112"/>
      <c r="F86" s="130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>
      <c r="A87" s="112"/>
      <c r="B87" s="112"/>
      <c r="C87" s="130"/>
      <c r="D87" s="112"/>
      <c r="E87" s="112"/>
      <c r="F87" s="130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>
      <c r="A88" s="112"/>
      <c r="B88" s="112"/>
      <c r="C88" s="130"/>
      <c r="D88" s="112"/>
      <c r="E88" s="112"/>
      <c r="F88" s="130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>
      <c r="A89" s="112"/>
      <c r="B89" s="112"/>
      <c r="C89" s="130"/>
      <c r="D89" s="112"/>
      <c r="E89" s="112"/>
      <c r="F89" s="130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>
      <c r="A90" s="112"/>
      <c r="B90" s="112"/>
      <c r="C90" s="130"/>
      <c r="D90" s="112"/>
      <c r="E90" s="112"/>
      <c r="F90" s="130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>
      <c r="A91" s="112"/>
      <c r="B91" s="112"/>
      <c r="C91" s="130"/>
      <c r="D91" s="112"/>
      <c r="E91" s="112"/>
      <c r="F91" s="130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>
      <c r="A92" s="112"/>
      <c r="B92" s="112"/>
      <c r="C92" s="130"/>
      <c r="D92" s="112"/>
      <c r="E92" s="112"/>
      <c r="F92" s="130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>
      <c r="A93" s="112"/>
      <c r="B93" s="112"/>
      <c r="C93" s="130"/>
      <c r="D93" s="112"/>
      <c r="E93" s="112"/>
      <c r="F93" s="130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>
      <c r="A94" s="112"/>
      <c r="B94" s="112"/>
      <c r="C94" s="130"/>
      <c r="D94" s="112"/>
      <c r="E94" s="112"/>
      <c r="F94" s="130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>
      <c r="A95" s="112"/>
      <c r="B95" s="112"/>
      <c r="C95" s="130"/>
      <c r="D95" s="112"/>
      <c r="E95" s="112"/>
      <c r="F95" s="130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>
      <c r="A96" s="112"/>
      <c r="B96" s="112"/>
      <c r="C96" s="130"/>
      <c r="D96" s="112"/>
      <c r="E96" s="112"/>
      <c r="F96" s="130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>
      <c r="A97" s="112"/>
      <c r="B97" s="112"/>
      <c r="C97" s="130"/>
      <c r="D97" s="112"/>
      <c r="E97" s="112"/>
      <c r="F97" s="130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>
      <c r="A98" s="112"/>
      <c r="B98" s="112"/>
      <c r="C98" s="130"/>
      <c r="D98" s="112"/>
      <c r="E98" s="112"/>
      <c r="F98" s="130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>
      <c r="A99" s="112"/>
      <c r="B99" s="112"/>
      <c r="C99" s="130"/>
      <c r="D99" s="112"/>
      <c r="E99" s="112"/>
      <c r="F99" s="130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>
      <c r="A100" s="112"/>
      <c r="B100" s="112"/>
      <c r="C100" s="130"/>
      <c r="D100" s="112"/>
      <c r="E100" s="112"/>
      <c r="F100" s="130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>
      <c r="A101" s="112"/>
      <c r="B101" s="112"/>
      <c r="C101" s="130"/>
      <c r="D101" s="112"/>
      <c r="E101" s="112"/>
      <c r="F101" s="130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>
      <c r="A102" s="112"/>
      <c r="B102" s="112"/>
      <c r="C102" s="130"/>
      <c r="D102" s="112"/>
      <c r="E102" s="112"/>
      <c r="F102" s="130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>
      <c r="A103" s="112"/>
      <c r="B103" s="112"/>
      <c r="C103" s="130"/>
      <c r="D103" s="112"/>
      <c r="E103" s="112"/>
      <c r="F103" s="130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>
      <c r="A104" s="112"/>
      <c r="B104" s="112"/>
      <c r="C104" s="130"/>
      <c r="D104" s="112"/>
      <c r="E104" s="112"/>
      <c r="F104" s="130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>
      <c r="A105" s="112"/>
      <c r="B105" s="112"/>
      <c r="C105" s="130"/>
      <c r="D105" s="112"/>
      <c r="E105" s="112"/>
      <c r="F105" s="130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>
      <c r="A106" s="112"/>
      <c r="B106" s="112"/>
      <c r="C106" s="130"/>
      <c r="D106" s="112"/>
      <c r="E106" s="112"/>
      <c r="F106" s="130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>
      <c r="A107" s="112"/>
      <c r="B107" s="112"/>
      <c r="C107" s="130"/>
      <c r="D107" s="112"/>
      <c r="E107" s="112"/>
      <c r="F107" s="130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>
      <c r="A108" s="112"/>
      <c r="B108" s="112"/>
      <c r="C108" s="130"/>
      <c r="D108" s="112"/>
      <c r="E108" s="112"/>
      <c r="F108" s="130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>
      <c r="A109" s="112"/>
      <c r="B109" s="112"/>
      <c r="C109" s="130"/>
      <c r="D109" s="112"/>
      <c r="E109" s="112"/>
      <c r="F109" s="130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>
      <c r="A110" s="112"/>
      <c r="B110" s="112"/>
      <c r="C110" s="130"/>
      <c r="D110" s="112"/>
      <c r="E110" s="112"/>
      <c r="F110" s="130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>
      <c r="A111" s="112"/>
      <c r="B111" s="112"/>
      <c r="C111" s="130"/>
      <c r="D111" s="112"/>
      <c r="E111" s="112"/>
      <c r="F111" s="130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>
      <c r="A112" s="112"/>
      <c r="B112" s="112"/>
      <c r="C112" s="130"/>
      <c r="D112" s="112"/>
      <c r="E112" s="112"/>
      <c r="F112" s="130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>
      <c r="A113" s="112"/>
      <c r="B113" s="112"/>
      <c r="C113" s="130"/>
      <c r="D113" s="112"/>
      <c r="E113" s="112"/>
      <c r="F113" s="130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>
      <c r="A114" s="112"/>
      <c r="B114" s="112"/>
      <c r="C114" s="130"/>
      <c r="D114" s="112"/>
      <c r="E114" s="112"/>
      <c r="F114" s="130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>
      <c r="A115" s="112"/>
      <c r="B115" s="112"/>
      <c r="C115" s="130"/>
      <c r="D115" s="112"/>
      <c r="E115" s="112"/>
      <c r="F115" s="130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>
      <c r="A116" s="112"/>
      <c r="B116" s="112"/>
      <c r="C116" s="130"/>
      <c r="D116" s="112"/>
      <c r="E116" s="112"/>
      <c r="F116" s="130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>
      <c r="A117" s="112"/>
      <c r="B117" s="112"/>
      <c r="C117" s="130"/>
      <c r="D117" s="112"/>
      <c r="E117" s="112"/>
      <c r="F117" s="130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>
      <c r="A118" s="112"/>
      <c r="B118" s="112"/>
      <c r="C118" s="130"/>
      <c r="D118" s="112"/>
      <c r="E118" s="112"/>
      <c r="F118" s="130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>
      <c r="A119" s="112"/>
      <c r="B119" s="112"/>
      <c r="C119" s="130"/>
      <c r="D119" s="112"/>
      <c r="E119" s="112"/>
      <c r="F119" s="130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>
      <c r="A120" s="112"/>
      <c r="B120" s="112"/>
      <c r="C120" s="130"/>
      <c r="D120" s="112"/>
      <c r="E120" s="112"/>
      <c r="F120" s="130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>
      <c r="A121" s="112"/>
      <c r="B121" s="112"/>
      <c r="C121" s="130"/>
      <c r="D121" s="112"/>
      <c r="E121" s="112"/>
      <c r="F121" s="130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>
      <c r="A122" s="112"/>
      <c r="B122" s="112"/>
      <c r="C122" s="130"/>
      <c r="D122" s="112"/>
      <c r="E122" s="112"/>
      <c r="F122" s="130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>
      <c r="A123" s="112"/>
      <c r="B123" s="112"/>
      <c r="C123" s="130"/>
      <c r="D123" s="112"/>
      <c r="E123" s="112"/>
      <c r="F123" s="130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>
      <c r="A124" s="112"/>
      <c r="B124" s="112"/>
      <c r="C124" s="130"/>
      <c r="D124" s="112"/>
      <c r="E124" s="112"/>
      <c r="F124" s="130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>
      <c r="A125" s="112"/>
      <c r="B125" s="112"/>
      <c r="C125" s="130"/>
      <c r="D125" s="112"/>
      <c r="E125" s="112"/>
      <c r="F125" s="130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>
      <c r="A126" s="112"/>
      <c r="B126" s="112"/>
      <c r="C126" s="130"/>
      <c r="D126" s="112"/>
      <c r="E126" s="112"/>
      <c r="F126" s="130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>
      <c r="A127" s="112"/>
      <c r="B127" s="112"/>
      <c r="C127" s="130"/>
      <c r="D127" s="112"/>
      <c r="E127" s="112"/>
      <c r="F127" s="130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>
      <c r="A128" s="112"/>
      <c r="B128" s="112"/>
      <c r="C128" s="130"/>
      <c r="D128" s="112"/>
      <c r="E128" s="112"/>
      <c r="F128" s="130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>
      <c r="A129" s="112"/>
      <c r="B129" s="112"/>
      <c r="C129" s="130"/>
      <c r="D129" s="112"/>
      <c r="E129" s="112"/>
      <c r="F129" s="130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>
      <c r="A130" s="112"/>
      <c r="B130" s="112"/>
      <c r="C130" s="130"/>
      <c r="D130" s="112"/>
      <c r="E130" s="112"/>
      <c r="F130" s="130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>
      <c r="A131" s="112"/>
      <c r="B131" s="112"/>
      <c r="C131" s="130"/>
      <c r="D131" s="112"/>
      <c r="E131" s="112"/>
      <c r="F131" s="130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>
      <c r="A132" s="112"/>
      <c r="B132" s="112"/>
      <c r="C132" s="130"/>
      <c r="D132" s="112"/>
      <c r="E132" s="112"/>
      <c r="F132" s="130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>
      <c r="A133" s="112"/>
      <c r="B133" s="112"/>
      <c r="C133" s="130"/>
      <c r="D133" s="112"/>
      <c r="E133" s="112"/>
      <c r="F133" s="130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>
      <c r="A134" s="112"/>
      <c r="B134" s="112"/>
      <c r="C134" s="130"/>
      <c r="D134" s="112"/>
      <c r="E134" s="112"/>
      <c r="F134" s="130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>
      <c r="A135" s="112"/>
      <c r="B135" s="112"/>
      <c r="C135" s="130"/>
      <c r="D135" s="112"/>
      <c r="E135" s="112"/>
      <c r="F135" s="130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>
      <c r="A136" s="112"/>
      <c r="B136" s="112"/>
      <c r="C136" s="130"/>
      <c r="D136" s="112"/>
      <c r="E136" s="112"/>
      <c r="F136" s="130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>
      <c r="A137" s="112"/>
      <c r="B137" s="112"/>
      <c r="C137" s="130"/>
      <c r="D137" s="112"/>
      <c r="E137" s="112"/>
      <c r="F137" s="130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>
      <c r="A138" s="112"/>
      <c r="B138" s="112"/>
      <c r="C138" s="130"/>
      <c r="D138" s="112"/>
      <c r="E138" s="112"/>
      <c r="F138" s="130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>
      <c r="A139" s="112"/>
      <c r="B139" s="112"/>
      <c r="C139" s="130"/>
      <c r="D139" s="112"/>
      <c r="E139" s="112"/>
      <c r="F139" s="130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>
      <c r="A140" s="112"/>
      <c r="B140" s="112"/>
      <c r="C140" s="130"/>
      <c r="D140" s="112"/>
      <c r="E140" s="112"/>
      <c r="F140" s="130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>
      <c r="A141" s="112"/>
      <c r="B141" s="112"/>
      <c r="C141" s="130"/>
      <c r="D141" s="112"/>
      <c r="E141" s="112"/>
      <c r="F141" s="130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>
      <c r="A142" s="112"/>
      <c r="B142" s="112"/>
      <c r="C142" s="130"/>
      <c r="D142" s="112"/>
      <c r="E142" s="112"/>
      <c r="F142" s="130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>
      <c r="A143" s="112"/>
      <c r="B143" s="112"/>
      <c r="C143" s="130"/>
      <c r="D143" s="112"/>
      <c r="E143" s="112"/>
      <c r="F143" s="130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>
      <c r="A144" s="112"/>
      <c r="B144" s="112"/>
      <c r="C144" s="130"/>
      <c r="D144" s="112"/>
      <c r="E144" s="112"/>
      <c r="F144" s="130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>
      <c r="A145" s="112"/>
      <c r="B145" s="112"/>
      <c r="C145" s="130"/>
      <c r="D145" s="112"/>
      <c r="E145" s="112"/>
      <c r="F145" s="130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>
      <c r="A146" s="112"/>
      <c r="B146" s="112"/>
      <c r="C146" s="130"/>
      <c r="D146" s="112"/>
      <c r="E146" s="112"/>
      <c r="F146" s="130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>
      <c r="A147" s="112"/>
      <c r="B147" s="112"/>
      <c r="C147" s="130"/>
      <c r="D147" s="112"/>
      <c r="E147" s="112"/>
      <c r="F147" s="130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>
      <c r="A148" s="112"/>
      <c r="B148" s="112"/>
      <c r="C148" s="130"/>
      <c r="D148" s="112"/>
      <c r="E148" s="112"/>
      <c r="F148" s="130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>
      <c r="A149" s="112"/>
      <c r="B149" s="112"/>
      <c r="C149" s="130"/>
      <c r="D149" s="112"/>
      <c r="E149" s="112"/>
      <c r="F149" s="130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>
      <c r="A150" s="112"/>
      <c r="B150" s="112"/>
      <c r="C150" s="130"/>
      <c r="D150" s="112"/>
      <c r="E150" s="112"/>
      <c r="F150" s="130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>
      <c r="A151" s="112"/>
      <c r="B151" s="112"/>
      <c r="C151" s="130"/>
      <c r="D151" s="112"/>
      <c r="E151" s="112"/>
      <c r="F151" s="130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>
      <c r="A152" s="112"/>
      <c r="B152" s="112"/>
      <c r="C152" s="130"/>
      <c r="D152" s="112"/>
      <c r="E152" s="112"/>
      <c r="F152" s="130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>
      <c r="A153" s="112"/>
      <c r="B153" s="112"/>
      <c r="C153" s="130"/>
      <c r="D153" s="112"/>
      <c r="E153" s="112"/>
      <c r="F153" s="130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>
      <c r="A154" s="112"/>
      <c r="B154" s="112"/>
      <c r="C154" s="130"/>
      <c r="D154" s="112"/>
      <c r="E154" s="112"/>
      <c r="F154" s="130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>
      <c r="A155" s="112"/>
      <c r="B155" s="112"/>
      <c r="C155" s="130"/>
      <c r="D155" s="112"/>
      <c r="E155" s="112"/>
      <c r="F155" s="130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>
      <c r="A156" s="112"/>
      <c r="B156" s="112"/>
      <c r="C156" s="130"/>
      <c r="D156" s="112"/>
      <c r="E156" s="112"/>
      <c r="F156" s="130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>
      <c r="A157" s="112"/>
      <c r="B157" s="112"/>
      <c r="C157" s="130"/>
      <c r="D157" s="112"/>
      <c r="E157" s="112"/>
      <c r="F157" s="130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>
      <c r="A158" s="112"/>
      <c r="B158" s="112"/>
      <c r="C158" s="130"/>
      <c r="D158" s="112"/>
      <c r="E158" s="112"/>
      <c r="F158" s="130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>
      <c r="A159" s="112"/>
      <c r="B159" s="112"/>
      <c r="C159" s="130"/>
      <c r="D159" s="112"/>
      <c r="E159" s="112"/>
      <c r="F159" s="130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>
      <c r="A160" s="112"/>
      <c r="B160" s="112"/>
      <c r="C160" s="130"/>
      <c r="D160" s="112"/>
      <c r="E160" s="112"/>
      <c r="F160" s="130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>
      <c r="A161" s="112"/>
      <c r="B161" s="112"/>
      <c r="C161" s="130"/>
      <c r="D161" s="112"/>
      <c r="E161" s="112"/>
      <c r="F161" s="130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>
      <c r="A162" s="112"/>
      <c r="B162" s="112"/>
      <c r="C162" s="130"/>
      <c r="D162" s="112"/>
      <c r="E162" s="112"/>
      <c r="F162" s="130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>
      <c r="A163" s="112"/>
      <c r="B163" s="112"/>
      <c r="C163" s="130"/>
      <c r="D163" s="112"/>
      <c r="E163" s="112"/>
      <c r="F163" s="130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>
      <c r="A164" s="112"/>
      <c r="B164" s="112"/>
      <c r="C164" s="130"/>
      <c r="D164" s="112"/>
      <c r="E164" s="112"/>
      <c r="F164" s="130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>
      <c r="A165" s="112"/>
      <c r="B165" s="112"/>
      <c r="C165" s="130"/>
      <c r="D165" s="112"/>
      <c r="E165" s="112"/>
      <c r="F165" s="130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>
      <c r="A166" s="112"/>
      <c r="B166" s="112"/>
      <c r="C166" s="130"/>
      <c r="D166" s="112"/>
      <c r="E166" s="112"/>
      <c r="F166" s="130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>
      <c r="A167" s="112"/>
      <c r="B167" s="112"/>
      <c r="C167" s="130"/>
      <c r="D167" s="112"/>
      <c r="E167" s="112"/>
      <c r="F167" s="130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>
      <c r="A168" s="112"/>
      <c r="B168" s="112"/>
      <c r="C168" s="130"/>
      <c r="D168" s="112"/>
      <c r="E168" s="112"/>
      <c r="F168" s="130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>
      <c r="A169" s="112"/>
      <c r="B169" s="112"/>
      <c r="C169" s="130"/>
      <c r="D169" s="112"/>
      <c r="E169" s="112"/>
      <c r="F169" s="130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>
      <c r="A170" s="112"/>
      <c r="B170" s="112"/>
      <c r="C170" s="130"/>
      <c r="D170" s="112"/>
      <c r="E170" s="112"/>
      <c r="F170" s="130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>
      <c r="A171" s="112"/>
      <c r="B171" s="112"/>
      <c r="C171" s="130"/>
      <c r="D171" s="112"/>
      <c r="E171" s="112"/>
      <c r="F171" s="130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>
      <c r="A172" s="112"/>
      <c r="B172" s="112"/>
      <c r="C172" s="130"/>
      <c r="D172" s="112"/>
      <c r="E172" s="112"/>
      <c r="F172" s="130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>
      <c r="A173" s="112"/>
      <c r="B173" s="112"/>
      <c r="C173" s="130"/>
      <c r="D173" s="112"/>
      <c r="E173" s="112"/>
      <c r="F173" s="130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>
      <c r="A174" s="112"/>
      <c r="B174" s="112"/>
      <c r="C174" s="130"/>
      <c r="D174" s="112"/>
      <c r="E174" s="112"/>
      <c r="F174" s="130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>
      <c r="A175" s="112"/>
      <c r="B175" s="112"/>
      <c r="C175" s="130"/>
      <c r="D175" s="112"/>
      <c r="E175" s="112"/>
      <c r="F175" s="130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>
      <c r="A176" s="112"/>
      <c r="B176" s="112"/>
      <c r="C176" s="130"/>
      <c r="D176" s="112"/>
      <c r="E176" s="112"/>
      <c r="F176" s="130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>
      <c r="A177" s="112"/>
      <c r="B177" s="112"/>
      <c r="C177" s="130"/>
      <c r="D177" s="112"/>
      <c r="E177" s="112"/>
      <c r="F177" s="130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>
      <c r="A178" s="112"/>
      <c r="B178" s="112"/>
      <c r="C178" s="130"/>
      <c r="D178" s="112"/>
      <c r="E178" s="112"/>
      <c r="F178" s="130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>
      <c r="A179" s="112"/>
      <c r="B179" s="112"/>
      <c r="C179" s="130"/>
      <c r="D179" s="112"/>
      <c r="E179" s="112"/>
      <c r="F179" s="130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>
      <c r="A180" s="112"/>
      <c r="B180" s="112"/>
      <c r="C180" s="130"/>
      <c r="D180" s="112"/>
      <c r="E180" s="112"/>
      <c r="F180" s="130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>
      <c r="A181" s="112"/>
      <c r="B181" s="112"/>
      <c r="C181" s="130"/>
      <c r="D181" s="112"/>
      <c r="E181" s="112"/>
      <c r="F181" s="130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>
      <c r="A182" s="112"/>
      <c r="B182" s="112"/>
      <c r="C182" s="130"/>
      <c r="D182" s="112"/>
      <c r="E182" s="112"/>
      <c r="F182" s="130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>
      <c r="A183" s="112"/>
      <c r="B183" s="112"/>
      <c r="C183" s="130"/>
      <c r="D183" s="112"/>
      <c r="E183" s="112"/>
      <c r="F183" s="130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>
      <c r="A184" s="112"/>
      <c r="B184" s="112"/>
      <c r="C184" s="130"/>
      <c r="D184" s="112"/>
      <c r="E184" s="112"/>
      <c r="F184" s="130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>
      <c r="A185" s="112"/>
      <c r="B185" s="112"/>
      <c r="C185" s="130"/>
      <c r="D185" s="112"/>
      <c r="E185" s="112"/>
      <c r="F185" s="130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>
      <c r="A186" s="112"/>
      <c r="B186" s="112"/>
      <c r="C186" s="130"/>
      <c r="D186" s="112"/>
      <c r="E186" s="112"/>
      <c r="F186" s="130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>
      <c r="A187" s="112"/>
      <c r="B187" s="112"/>
      <c r="C187" s="130"/>
      <c r="D187" s="112"/>
      <c r="E187" s="112"/>
      <c r="F187" s="130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>
      <c r="A188" s="112"/>
      <c r="B188" s="112"/>
      <c r="C188" s="130"/>
      <c r="D188" s="112"/>
      <c r="E188" s="112"/>
      <c r="F188" s="130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>
      <c r="A189" s="112"/>
      <c r="B189" s="112"/>
      <c r="C189" s="130"/>
      <c r="D189" s="112"/>
      <c r="E189" s="112"/>
      <c r="F189" s="130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>
      <c r="A190" s="112"/>
      <c r="B190" s="112"/>
      <c r="C190" s="130"/>
      <c r="D190" s="112"/>
      <c r="E190" s="112"/>
      <c r="F190" s="130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>
      <c r="A191" s="112"/>
      <c r="B191" s="112"/>
      <c r="C191" s="130"/>
      <c r="D191" s="112"/>
      <c r="E191" s="112"/>
      <c r="F191" s="130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>
      <c r="A192" s="112"/>
      <c r="B192" s="112"/>
      <c r="C192" s="130"/>
      <c r="D192" s="112"/>
      <c r="E192" s="112"/>
      <c r="F192" s="130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>
      <c r="A193" s="112"/>
      <c r="B193" s="112"/>
      <c r="C193" s="130"/>
      <c r="D193" s="112"/>
      <c r="E193" s="112"/>
      <c r="F193" s="130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>
      <c r="A194" s="112"/>
      <c r="B194" s="112"/>
      <c r="C194" s="130"/>
      <c r="D194" s="112"/>
      <c r="E194" s="112"/>
      <c r="F194" s="130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>
      <c r="A195" s="112"/>
      <c r="B195" s="112"/>
      <c r="C195" s="130"/>
      <c r="D195" s="112"/>
      <c r="E195" s="112"/>
      <c r="F195" s="130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>
      <c r="A196" s="112"/>
      <c r="B196" s="112"/>
      <c r="C196" s="130"/>
      <c r="D196" s="112"/>
      <c r="E196" s="112"/>
      <c r="F196" s="130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>
      <c r="A197" s="112"/>
      <c r="B197" s="112"/>
      <c r="C197" s="130"/>
      <c r="D197" s="112"/>
      <c r="E197" s="112"/>
      <c r="F197" s="130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>
      <c r="A198" s="112"/>
      <c r="B198" s="112"/>
      <c r="C198" s="130"/>
      <c r="D198" s="112"/>
      <c r="E198" s="112"/>
      <c r="F198" s="130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>
      <c r="A199" s="112"/>
      <c r="B199" s="112"/>
      <c r="C199" s="130"/>
      <c r="D199" s="112"/>
      <c r="E199" s="112"/>
      <c r="F199" s="130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>
      <c r="A200" s="112"/>
      <c r="B200" s="112"/>
      <c r="C200" s="130"/>
      <c r="D200" s="112"/>
      <c r="E200" s="112"/>
      <c r="F200" s="130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>
      <c r="A201" s="112"/>
      <c r="B201" s="112"/>
      <c r="C201" s="130"/>
      <c r="D201" s="112"/>
      <c r="E201" s="112"/>
      <c r="F201" s="130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>
      <c r="A202" s="112"/>
      <c r="B202" s="112"/>
      <c r="C202" s="130"/>
      <c r="D202" s="112"/>
      <c r="E202" s="112"/>
      <c r="F202" s="130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>
      <c r="A203" s="112"/>
      <c r="B203" s="112"/>
      <c r="C203" s="130"/>
      <c r="D203" s="112"/>
      <c r="E203" s="112"/>
      <c r="F203" s="130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>
      <c r="A204" s="112"/>
      <c r="B204" s="112"/>
      <c r="C204" s="130"/>
      <c r="D204" s="112"/>
      <c r="E204" s="112"/>
      <c r="F204" s="130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>
      <c r="A205" s="112"/>
      <c r="B205" s="112"/>
      <c r="C205" s="130"/>
      <c r="D205" s="112"/>
      <c r="E205" s="112"/>
      <c r="F205" s="130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>
      <c r="A206" s="112"/>
      <c r="B206" s="112"/>
      <c r="C206" s="130"/>
      <c r="D206" s="112"/>
      <c r="E206" s="112"/>
      <c r="F206" s="130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>
      <c r="A207" s="112"/>
      <c r="B207" s="112"/>
      <c r="C207" s="130"/>
      <c r="D207" s="112"/>
      <c r="E207" s="112"/>
      <c r="F207" s="130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>
      <c r="A208" s="112"/>
      <c r="B208" s="112"/>
      <c r="C208" s="130"/>
      <c r="D208" s="112"/>
      <c r="E208" s="112"/>
      <c r="F208" s="130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>
      <c r="A209" s="112"/>
      <c r="B209" s="112"/>
      <c r="C209" s="130"/>
      <c r="D209" s="112"/>
      <c r="E209" s="112"/>
      <c r="F209" s="130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>
      <c r="A210" s="112"/>
      <c r="B210" s="112"/>
      <c r="C210" s="130"/>
      <c r="D210" s="112"/>
      <c r="E210" s="112"/>
      <c r="F210" s="130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>
      <c r="A211" s="112"/>
      <c r="B211" s="112"/>
      <c r="C211" s="130"/>
      <c r="D211" s="112"/>
      <c r="E211" s="112"/>
      <c r="F211" s="130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>
      <c r="A212" s="112"/>
      <c r="B212" s="112"/>
      <c r="C212" s="130"/>
      <c r="D212" s="112"/>
      <c r="E212" s="112"/>
      <c r="F212" s="130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>
      <c r="A213" s="112"/>
      <c r="B213" s="112"/>
      <c r="C213" s="130"/>
      <c r="D213" s="112"/>
      <c r="E213" s="112"/>
      <c r="F213" s="130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>
      <c r="A214" s="112"/>
      <c r="B214" s="112"/>
      <c r="C214" s="130"/>
      <c r="D214" s="112"/>
      <c r="E214" s="112"/>
      <c r="F214" s="130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>
      <c r="A215" s="112"/>
      <c r="B215" s="112"/>
      <c r="C215" s="130"/>
      <c r="D215" s="112"/>
      <c r="E215" s="112"/>
      <c r="F215" s="130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>
      <c r="A216" s="112"/>
      <c r="B216" s="112"/>
      <c r="C216" s="130"/>
      <c r="D216" s="112"/>
      <c r="E216" s="112"/>
      <c r="F216" s="130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>
      <c r="A217" s="112"/>
      <c r="B217" s="112"/>
      <c r="C217" s="130"/>
      <c r="D217" s="112"/>
      <c r="E217" s="112"/>
      <c r="F217" s="130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>
      <c r="A218" s="112"/>
      <c r="B218" s="112"/>
      <c r="C218" s="130"/>
      <c r="D218" s="112"/>
      <c r="E218" s="112"/>
      <c r="F218" s="130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>
      <c r="A219" s="112"/>
      <c r="B219" s="112"/>
      <c r="C219" s="130"/>
      <c r="D219" s="112"/>
      <c r="E219" s="112"/>
      <c r="F219" s="130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>
      <c r="A220" s="112"/>
      <c r="B220" s="112"/>
      <c r="C220" s="130"/>
      <c r="D220" s="112"/>
      <c r="E220" s="112"/>
      <c r="F220" s="130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>
      <c r="A221" s="112"/>
      <c r="B221" s="112"/>
      <c r="C221" s="130"/>
      <c r="D221" s="112"/>
      <c r="E221" s="112"/>
      <c r="F221" s="130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>
      <c r="A222" s="112"/>
      <c r="B222" s="112"/>
      <c r="C222" s="130"/>
      <c r="D222" s="112"/>
      <c r="E222" s="112"/>
      <c r="F222" s="130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>
      <c r="A223" s="112"/>
      <c r="B223" s="112"/>
      <c r="C223" s="130"/>
      <c r="D223" s="112"/>
      <c r="E223" s="112"/>
      <c r="F223" s="130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>
      <c r="A224" s="112"/>
      <c r="B224" s="112"/>
      <c r="C224" s="130"/>
      <c r="D224" s="112"/>
      <c r="E224" s="112"/>
      <c r="F224" s="130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>
      <c r="A225" s="112"/>
      <c r="B225" s="112"/>
      <c r="C225" s="130"/>
      <c r="D225" s="112"/>
      <c r="E225" s="112"/>
      <c r="F225" s="130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>
      <c r="A226" s="112"/>
      <c r="B226" s="112"/>
      <c r="C226" s="130"/>
      <c r="D226" s="112"/>
      <c r="E226" s="112"/>
      <c r="F226" s="130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>
      <c r="A227" s="112"/>
      <c r="B227" s="112"/>
      <c r="C227" s="130"/>
      <c r="D227" s="112"/>
      <c r="E227" s="112"/>
      <c r="F227" s="130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>
      <c r="A228" s="112"/>
      <c r="B228" s="112"/>
      <c r="C228" s="130"/>
      <c r="D228" s="112"/>
      <c r="E228" s="112"/>
      <c r="F228" s="130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>
      <c r="A229" s="112"/>
      <c r="B229" s="112"/>
      <c r="C229" s="130"/>
      <c r="D229" s="112"/>
      <c r="E229" s="112"/>
      <c r="F229" s="130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>
      <c r="A230" s="112"/>
      <c r="B230" s="112"/>
      <c r="C230" s="130"/>
      <c r="D230" s="112"/>
      <c r="E230" s="112"/>
      <c r="F230" s="130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>
      <c r="A231" s="112"/>
      <c r="B231" s="112"/>
      <c r="C231" s="130"/>
      <c r="D231" s="112"/>
      <c r="E231" s="112"/>
      <c r="F231" s="130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>
      <c r="A232" s="112"/>
      <c r="B232" s="112"/>
      <c r="C232" s="130"/>
      <c r="D232" s="112"/>
      <c r="E232" s="112"/>
      <c r="F232" s="130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>
      <c r="A233" s="112"/>
      <c r="B233" s="112"/>
      <c r="C233" s="130"/>
      <c r="D233" s="112"/>
      <c r="E233" s="112"/>
      <c r="F233" s="130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>
      <c r="A234" s="112"/>
      <c r="B234" s="112"/>
      <c r="C234" s="130"/>
      <c r="D234" s="112"/>
      <c r="E234" s="112"/>
      <c r="F234" s="130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>
      <c r="A235" s="112"/>
      <c r="B235" s="112"/>
      <c r="C235" s="130"/>
      <c r="D235" s="112"/>
      <c r="E235" s="112"/>
      <c r="F235" s="130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>
      <c r="A236" s="112"/>
      <c r="B236" s="112"/>
      <c r="C236" s="130"/>
      <c r="D236" s="112"/>
      <c r="E236" s="112"/>
      <c r="F236" s="130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>
      <c r="A237" s="112"/>
      <c r="B237" s="112"/>
      <c r="C237" s="130"/>
      <c r="D237" s="112"/>
      <c r="E237" s="112"/>
      <c r="F237" s="130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>
      <c r="A238" s="112"/>
      <c r="B238" s="112"/>
      <c r="C238" s="130"/>
      <c r="D238" s="112"/>
      <c r="E238" s="112"/>
      <c r="F238" s="130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>
      <c r="A239" s="112"/>
      <c r="B239" s="112"/>
      <c r="C239" s="130"/>
      <c r="D239" s="112"/>
      <c r="E239" s="112"/>
      <c r="F239" s="130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>
      <c r="A240" s="112"/>
      <c r="B240" s="112"/>
      <c r="C240" s="130"/>
      <c r="D240" s="112"/>
      <c r="E240" s="112"/>
      <c r="F240" s="130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>
      <c r="A241" s="112"/>
      <c r="B241" s="112"/>
      <c r="C241" s="130"/>
      <c r="D241" s="112"/>
      <c r="E241" s="112"/>
      <c r="F241" s="130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>
      <c r="A242" s="112"/>
      <c r="B242" s="112"/>
      <c r="C242" s="130"/>
      <c r="D242" s="112"/>
      <c r="E242" s="112"/>
      <c r="F242" s="130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>
      <c r="A243" s="112"/>
      <c r="B243" s="112"/>
      <c r="C243" s="130"/>
      <c r="D243" s="112"/>
      <c r="E243" s="112"/>
      <c r="F243" s="130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>
      <c r="A244" s="112"/>
      <c r="B244" s="112"/>
      <c r="C244" s="130"/>
      <c r="D244" s="112"/>
      <c r="E244" s="112"/>
      <c r="F244" s="130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>
      <c r="A245" s="112"/>
      <c r="B245" s="112"/>
      <c r="C245" s="130"/>
      <c r="D245" s="112"/>
      <c r="E245" s="112"/>
      <c r="F245" s="130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>
      <c r="A246" s="112"/>
      <c r="B246" s="112"/>
      <c r="C246" s="130"/>
      <c r="D246" s="112"/>
      <c r="E246" s="112"/>
      <c r="F246" s="130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>
      <c r="A247" s="112"/>
      <c r="B247" s="112"/>
      <c r="C247" s="130"/>
      <c r="D247" s="112"/>
      <c r="E247" s="112"/>
      <c r="F247" s="130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>
      <c r="A248" s="112"/>
      <c r="B248" s="112"/>
      <c r="C248" s="130"/>
      <c r="D248" s="112"/>
      <c r="E248" s="112"/>
      <c r="F248" s="130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>
      <c r="A249" s="112"/>
      <c r="B249" s="112"/>
      <c r="C249" s="130"/>
      <c r="D249" s="112"/>
      <c r="E249" s="112"/>
      <c r="F249" s="130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>
      <c r="A250" s="112"/>
      <c r="B250" s="112"/>
      <c r="C250" s="130"/>
      <c r="D250" s="112"/>
      <c r="E250" s="112"/>
      <c r="F250" s="130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>
      <c r="A251" s="112"/>
      <c r="B251" s="112"/>
      <c r="C251" s="130"/>
      <c r="D251" s="112"/>
      <c r="E251" s="112"/>
      <c r="F251" s="130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>
      <c r="A252" s="112"/>
      <c r="B252" s="112"/>
      <c r="C252" s="130"/>
      <c r="D252" s="112"/>
      <c r="E252" s="112"/>
      <c r="F252" s="130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>
      <c r="A253" s="112"/>
      <c r="B253" s="112"/>
      <c r="C253" s="130"/>
      <c r="D253" s="112"/>
      <c r="E253" s="112"/>
      <c r="F253" s="130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>
      <c r="A254" s="112"/>
      <c r="B254" s="112"/>
      <c r="C254" s="130"/>
      <c r="D254" s="112"/>
      <c r="E254" s="112"/>
      <c r="F254" s="130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>
      <c r="A255" s="112"/>
      <c r="B255" s="112"/>
      <c r="C255" s="130"/>
      <c r="D255" s="112"/>
      <c r="E255" s="112"/>
      <c r="F255" s="130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>
      <c r="A256" s="112"/>
      <c r="B256" s="112"/>
      <c r="C256" s="130"/>
      <c r="D256" s="112"/>
      <c r="E256" s="112"/>
      <c r="F256" s="130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>
      <c r="A257" s="112"/>
      <c r="B257" s="112"/>
      <c r="C257" s="130"/>
      <c r="D257" s="112"/>
      <c r="E257" s="112"/>
      <c r="F257" s="130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>
      <c r="A258" s="112"/>
      <c r="B258" s="112"/>
      <c r="C258" s="130"/>
      <c r="D258" s="112"/>
      <c r="E258" s="112"/>
      <c r="F258" s="130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>
      <c r="A259" s="112"/>
      <c r="B259" s="112"/>
      <c r="C259" s="130"/>
      <c r="D259" s="112"/>
      <c r="E259" s="112"/>
      <c r="F259" s="130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>
      <c r="A260" s="112"/>
      <c r="B260" s="112"/>
      <c r="C260" s="130"/>
      <c r="D260" s="112"/>
      <c r="E260" s="112"/>
      <c r="F260" s="130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>
      <c r="A261" s="112"/>
      <c r="B261" s="112"/>
      <c r="C261" s="130"/>
      <c r="D261" s="112"/>
      <c r="E261" s="112"/>
      <c r="F261" s="130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>
      <c r="A262" s="112"/>
      <c r="B262" s="112"/>
      <c r="C262" s="130"/>
      <c r="D262" s="112"/>
      <c r="E262" s="112"/>
      <c r="F262" s="130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>
      <c r="A263" s="112"/>
      <c r="B263" s="112"/>
      <c r="C263" s="130"/>
      <c r="D263" s="112"/>
      <c r="E263" s="112"/>
      <c r="F263" s="130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>
      <c r="A264" s="112"/>
      <c r="B264" s="112"/>
      <c r="C264" s="130"/>
      <c r="D264" s="112"/>
      <c r="E264" s="112"/>
      <c r="F264" s="130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>
      <c r="A265" s="112"/>
      <c r="B265" s="112"/>
      <c r="C265" s="130"/>
      <c r="D265" s="112"/>
      <c r="E265" s="112"/>
      <c r="F265" s="130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>
      <c r="A266" s="112"/>
      <c r="B266" s="112"/>
      <c r="C266" s="130"/>
      <c r="D266" s="112"/>
      <c r="E266" s="112"/>
      <c r="F266" s="130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>
      <c r="A267" s="112"/>
      <c r="B267" s="112"/>
      <c r="C267" s="130"/>
      <c r="D267" s="112"/>
      <c r="E267" s="112"/>
      <c r="F267" s="130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>
      <c r="A268" s="112"/>
      <c r="B268" s="112"/>
      <c r="C268" s="130"/>
      <c r="D268" s="112"/>
      <c r="E268" s="112"/>
      <c r="F268" s="130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>
      <c r="A269" s="112"/>
      <c r="B269" s="112"/>
      <c r="C269" s="130"/>
      <c r="D269" s="112"/>
      <c r="E269" s="112"/>
      <c r="F269" s="130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>
      <c r="A270" s="112"/>
      <c r="B270" s="112"/>
      <c r="C270" s="130"/>
      <c r="D270" s="112"/>
      <c r="E270" s="112"/>
      <c r="F270" s="130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>
      <c r="A271" s="112"/>
      <c r="B271" s="112"/>
      <c r="C271" s="130"/>
      <c r="D271" s="112"/>
      <c r="E271" s="112"/>
      <c r="F271" s="130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>
      <c r="A272" s="112"/>
      <c r="B272" s="112"/>
      <c r="C272" s="130"/>
      <c r="D272" s="112"/>
      <c r="E272" s="112"/>
      <c r="F272" s="130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>
      <c r="A273" s="112"/>
      <c r="B273" s="112"/>
      <c r="C273" s="130"/>
      <c r="D273" s="112"/>
      <c r="E273" s="112"/>
      <c r="F273" s="130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>
      <c r="A274" s="112"/>
      <c r="B274" s="112"/>
      <c r="C274" s="130"/>
      <c r="D274" s="112"/>
      <c r="E274" s="112"/>
      <c r="F274" s="130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>
      <c r="A275" s="112"/>
      <c r="B275" s="112"/>
      <c r="C275" s="130"/>
      <c r="D275" s="112"/>
      <c r="E275" s="112"/>
      <c r="F275" s="130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>
      <c r="A276" s="112"/>
      <c r="B276" s="112"/>
      <c r="C276" s="130"/>
      <c r="D276" s="112"/>
      <c r="E276" s="112"/>
      <c r="F276" s="130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>
      <c r="A277" s="112"/>
      <c r="B277" s="112"/>
      <c r="C277" s="130"/>
      <c r="D277" s="112"/>
      <c r="E277" s="112"/>
      <c r="F277" s="130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>
      <c r="A278" s="112"/>
      <c r="B278" s="112"/>
      <c r="C278" s="130"/>
      <c r="D278" s="112"/>
      <c r="E278" s="112"/>
      <c r="F278" s="130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>
      <c r="A279" s="112"/>
      <c r="B279" s="112"/>
      <c r="C279" s="130"/>
      <c r="D279" s="112"/>
      <c r="E279" s="112"/>
      <c r="F279" s="130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>
      <c r="A280" s="112"/>
      <c r="B280" s="112"/>
      <c r="C280" s="130"/>
      <c r="D280" s="112"/>
      <c r="E280" s="112"/>
      <c r="F280" s="130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>
      <c r="A281" s="112"/>
      <c r="B281" s="112"/>
      <c r="C281" s="130"/>
      <c r="D281" s="112"/>
      <c r="E281" s="112"/>
      <c r="F281" s="130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>
      <c r="A282" s="112"/>
      <c r="B282" s="112"/>
      <c r="C282" s="130"/>
      <c r="D282" s="112"/>
      <c r="E282" s="112"/>
      <c r="F282" s="130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>
      <c r="A283" s="112"/>
      <c r="B283" s="112"/>
      <c r="C283" s="130"/>
      <c r="D283" s="112"/>
      <c r="E283" s="112"/>
      <c r="F283" s="130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>
      <c r="A284" s="112"/>
      <c r="B284" s="112"/>
      <c r="C284" s="130"/>
      <c r="D284" s="112"/>
      <c r="E284" s="112"/>
      <c r="F284" s="130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>
      <c r="A285" s="112"/>
      <c r="B285" s="112"/>
      <c r="C285" s="130"/>
      <c r="D285" s="112"/>
      <c r="E285" s="112"/>
      <c r="F285" s="130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>
      <c r="A286" s="112"/>
      <c r="B286" s="112"/>
      <c r="C286" s="130"/>
      <c r="D286" s="112"/>
      <c r="E286" s="112"/>
      <c r="F286" s="130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>
      <c r="A287" s="112"/>
      <c r="B287" s="112"/>
      <c r="C287" s="130"/>
      <c r="D287" s="112"/>
      <c r="E287" s="112"/>
      <c r="F287" s="130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>
      <c r="A288" s="112"/>
      <c r="B288" s="112"/>
      <c r="C288" s="130"/>
      <c r="D288" s="112"/>
      <c r="E288" s="112"/>
      <c r="F288" s="130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>
      <c r="A289" s="112"/>
      <c r="B289" s="112"/>
      <c r="C289" s="130"/>
      <c r="D289" s="112"/>
      <c r="E289" s="112"/>
      <c r="F289" s="130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>
      <c r="A290" s="112"/>
      <c r="B290" s="112"/>
      <c r="C290" s="130"/>
      <c r="D290" s="112"/>
      <c r="E290" s="112"/>
      <c r="F290" s="130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>
      <c r="A291" s="112"/>
      <c r="B291" s="112"/>
      <c r="C291" s="130"/>
      <c r="D291" s="112"/>
      <c r="E291" s="112"/>
      <c r="F291" s="130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>
      <c r="A292" s="112"/>
      <c r="B292" s="112"/>
      <c r="C292" s="130"/>
      <c r="D292" s="112"/>
      <c r="E292" s="112"/>
      <c r="F292" s="130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>
      <c r="A293" s="112"/>
      <c r="B293" s="112"/>
      <c r="C293" s="130"/>
      <c r="D293" s="112"/>
      <c r="E293" s="112"/>
      <c r="F293" s="130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>
      <c r="A294" s="112"/>
      <c r="B294" s="112"/>
      <c r="C294" s="130"/>
      <c r="D294" s="112"/>
      <c r="E294" s="112"/>
      <c r="F294" s="130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>
      <c r="A295" s="112"/>
      <c r="B295" s="112"/>
      <c r="C295" s="130"/>
      <c r="D295" s="112"/>
      <c r="E295" s="112"/>
      <c r="F295" s="130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>
      <c r="A296" s="112"/>
      <c r="B296" s="112"/>
      <c r="C296" s="130"/>
      <c r="D296" s="112"/>
      <c r="E296" s="112"/>
      <c r="F296" s="130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>
      <c r="A297" s="112"/>
      <c r="B297" s="112"/>
      <c r="C297" s="130"/>
      <c r="D297" s="112"/>
      <c r="E297" s="112"/>
      <c r="F297" s="130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>
      <c r="A298" s="112"/>
      <c r="B298" s="112"/>
      <c r="C298" s="130"/>
      <c r="D298" s="112"/>
      <c r="E298" s="112"/>
      <c r="F298" s="130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>
      <c r="A299" s="112"/>
      <c r="B299" s="112"/>
      <c r="C299" s="130"/>
      <c r="D299" s="112"/>
      <c r="E299" s="112"/>
      <c r="F299" s="130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>
      <c r="A300" s="112"/>
      <c r="B300" s="112"/>
      <c r="C300" s="130"/>
      <c r="D300" s="112"/>
      <c r="E300" s="112"/>
      <c r="F300" s="130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>
      <c r="A301" s="112"/>
      <c r="B301" s="112"/>
      <c r="C301" s="130"/>
      <c r="D301" s="112"/>
      <c r="E301" s="112"/>
      <c r="F301" s="130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>
      <c r="A302" s="112"/>
      <c r="B302" s="112"/>
      <c r="C302" s="130"/>
      <c r="D302" s="112"/>
      <c r="E302" s="112"/>
      <c r="F302" s="130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>
      <c r="A303" s="112"/>
      <c r="B303" s="112"/>
      <c r="C303" s="130"/>
      <c r="D303" s="112"/>
      <c r="E303" s="112"/>
      <c r="F303" s="130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>
      <c r="A304" s="112"/>
      <c r="B304" s="112"/>
      <c r="C304" s="130"/>
      <c r="D304" s="112"/>
      <c r="E304" s="112"/>
      <c r="F304" s="130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>
      <c r="A305" s="112"/>
      <c r="B305" s="112"/>
      <c r="C305" s="130"/>
      <c r="D305" s="112"/>
      <c r="E305" s="112"/>
      <c r="F305" s="130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>
      <c r="A306" s="112"/>
      <c r="B306" s="112"/>
      <c r="C306" s="130"/>
      <c r="D306" s="112"/>
      <c r="E306" s="112"/>
      <c r="F306" s="130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>
      <c r="A307" s="112"/>
      <c r="B307" s="112"/>
      <c r="C307" s="130"/>
      <c r="D307" s="112"/>
      <c r="E307" s="112"/>
      <c r="F307" s="130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>
      <c r="A308" s="112"/>
      <c r="B308" s="112"/>
      <c r="C308" s="130"/>
      <c r="D308" s="112"/>
      <c r="E308" s="112"/>
      <c r="F308" s="130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>
      <c r="A309" s="112"/>
      <c r="B309" s="112"/>
      <c r="C309" s="130"/>
      <c r="D309" s="112"/>
      <c r="E309" s="112"/>
      <c r="F309" s="130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>
      <c r="A310" s="112"/>
      <c r="B310" s="112"/>
      <c r="C310" s="130"/>
      <c r="D310" s="112"/>
      <c r="E310" s="112"/>
      <c r="F310" s="130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>
      <c r="A311" s="112"/>
      <c r="B311" s="112"/>
      <c r="C311" s="130"/>
      <c r="D311" s="112"/>
      <c r="E311" s="112"/>
      <c r="F311" s="130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>
      <c r="A312" s="112"/>
      <c r="B312" s="112"/>
      <c r="C312" s="130"/>
      <c r="D312" s="112"/>
      <c r="E312" s="112"/>
      <c r="F312" s="130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>
      <c r="A313" s="112"/>
      <c r="B313" s="112"/>
      <c r="C313" s="130"/>
      <c r="D313" s="112"/>
      <c r="E313" s="112"/>
      <c r="F313" s="130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>
      <c r="A314" s="112"/>
      <c r="B314" s="112"/>
      <c r="C314" s="130"/>
      <c r="D314" s="112"/>
      <c r="E314" s="112"/>
      <c r="F314" s="130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>
      <c r="A315" s="112"/>
      <c r="B315" s="112"/>
      <c r="C315" s="130"/>
      <c r="D315" s="112"/>
      <c r="E315" s="112"/>
      <c r="F315" s="130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>
      <c r="A316" s="112"/>
      <c r="B316" s="112"/>
      <c r="C316" s="130"/>
      <c r="D316" s="112"/>
      <c r="E316" s="112"/>
      <c r="F316" s="130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>
      <c r="A317" s="112"/>
      <c r="B317" s="112"/>
      <c r="C317" s="130"/>
      <c r="D317" s="112"/>
      <c r="E317" s="112"/>
      <c r="F317" s="130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>
      <c r="A318" s="112"/>
      <c r="B318" s="112"/>
      <c r="C318" s="130"/>
      <c r="D318" s="112"/>
      <c r="E318" s="112"/>
      <c r="F318" s="130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>
      <c r="A319" s="112"/>
      <c r="B319" s="112"/>
      <c r="C319" s="130"/>
      <c r="D319" s="112"/>
      <c r="E319" s="112"/>
      <c r="F319" s="130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>
      <c r="A320" s="112"/>
      <c r="B320" s="112"/>
      <c r="C320" s="130"/>
      <c r="D320" s="112"/>
      <c r="E320" s="112"/>
      <c r="F320" s="130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>
      <c r="A321" s="112"/>
      <c r="B321" s="112"/>
      <c r="C321" s="130"/>
      <c r="D321" s="112"/>
      <c r="E321" s="112"/>
      <c r="F321" s="130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>
      <c r="A322" s="112"/>
      <c r="B322" s="112"/>
      <c r="C322" s="130"/>
      <c r="D322" s="112"/>
      <c r="E322" s="112"/>
      <c r="F322" s="130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>
      <c r="A323" s="112"/>
      <c r="B323" s="112"/>
      <c r="C323" s="130"/>
      <c r="D323" s="112"/>
      <c r="E323" s="112"/>
      <c r="F323" s="130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>
      <c r="A324" s="112"/>
      <c r="B324" s="112"/>
      <c r="C324" s="130"/>
      <c r="D324" s="112"/>
      <c r="E324" s="112"/>
      <c r="F324" s="130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>
      <c r="A325" s="112"/>
      <c r="B325" s="112"/>
      <c r="C325" s="130"/>
      <c r="D325" s="112"/>
      <c r="E325" s="112"/>
      <c r="F325" s="130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>
      <c r="A326" s="112"/>
      <c r="B326" s="112"/>
      <c r="C326" s="130"/>
      <c r="D326" s="112"/>
      <c r="E326" s="112"/>
      <c r="F326" s="130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>
      <c r="A327" s="112"/>
      <c r="B327" s="112"/>
      <c r="C327" s="130"/>
      <c r="D327" s="112"/>
      <c r="E327" s="112"/>
      <c r="F327" s="130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>
      <c r="A328" s="112"/>
      <c r="B328" s="112"/>
      <c r="C328" s="130"/>
      <c r="D328" s="112"/>
      <c r="E328" s="112"/>
      <c r="F328" s="130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>
      <c r="A329" s="112"/>
      <c r="B329" s="112"/>
      <c r="C329" s="130"/>
      <c r="D329" s="112"/>
      <c r="E329" s="112"/>
      <c r="F329" s="130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>
      <c r="A330" s="112"/>
      <c r="B330" s="112"/>
      <c r="C330" s="130"/>
      <c r="D330" s="112"/>
      <c r="E330" s="112"/>
      <c r="F330" s="130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>
      <c r="A331" s="112"/>
      <c r="B331" s="112"/>
      <c r="C331" s="130"/>
      <c r="D331" s="112"/>
      <c r="E331" s="112"/>
      <c r="F331" s="130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>
      <c r="A332" s="112"/>
      <c r="B332" s="112"/>
      <c r="C332" s="130"/>
      <c r="D332" s="112"/>
      <c r="E332" s="112"/>
      <c r="F332" s="130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>
      <c r="A333" s="112"/>
      <c r="B333" s="112"/>
      <c r="C333" s="130"/>
      <c r="D333" s="112"/>
      <c r="E333" s="112"/>
      <c r="F333" s="130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>
      <c r="A334" s="112"/>
      <c r="B334" s="112"/>
      <c r="C334" s="130"/>
      <c r="D334" s="112"/>
      <c r="E334" s="112"/>
      <c r="F334" s="130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>
      <c r="A335" s="112"/>
      <c r="B335" s="112"/>
      <c r="C335" s="130"/>
      <c r="D335" s="112"/>
      <c r="E335" s="112"/>
      <c r="F335" s="130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>
      <c r="A336" s="112"/>
      <c r="B336" s="112"/>
      <c r="C336" s="130"/>
      <c r="D336" s="112"/>
      <c r="E336" s="112"/>
      <c r="F336" s="130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>
      <c r="A337" s="112"/>
      <c r="B337" s="112"/>
      <c r="C337" s="130"/>
      <c r="D337" s="112"/>
      <c r="E337" s="112"/>
      <c r="F337" s="130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>
      <c r="A338" s="112"/>
      <c r="B338" s="112"/>
      <c r="C338" s="130"/>
      <c r="D338" s="112"/>
      <c r="E338" s="112"/>
      <c r="F338" s="130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>
      <c r="A339" s="112"/>
      <c r="B339" s="112"/>
      <c r="C339" s="130"/>
      <c r="D339" s="112"/>
      <c r="E339" s="112"/>
      <c r="F339" s="130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>
      <c r="A340" s="112"/>
      <c r="B340" s="112"/>
      <c r="C340" s="130"/>
      <c r="D340" s="112"/>
      <c r="E340" s="112"/>
      <c r="F340" s="130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>
      <c r="A341" s="112"/>
      <c r="B341" s="112"/>
      <c r="C341" s="130"/>
      <c r="D341" s="112"/>
      <c r="E341" s="112"/>
      <c r="F341" s="130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>
      <c r="A342" s="112"/>
      <c r="B342" s="112"/>
      <c r="C342" s="130"/>
      <c r="D342" s="112"/>
      <c r="E342" s="112"/>
      <c r="F342" s="130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>
      <c r="A343" s="112"/>
      <c r="B343" s="112"/>
      <c r="C343" s="130"/>
      <c r="D343" s="112"/>
      <c r="E343" s="112"/>
      <c r="F343" s="130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>
      <c r="A344" s="112"/>
      <c r="B344" s="112"/>
      <c r="C344" s="130"/>
      <c r="D344" s="112"/>
      <c r="E344" s="112"/>
      <c r="F344" s="130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>
      <c r="A345" s="112"/>
      <c r="B345" s="112"/>
      <c r="C345" s="130"/>
      <c r="D345" s="112"/>
      <c r="E345" s="112"/>
      <c r="F345" s="130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>
      <c r="A346" s="112"/>
      <c r="B346" s="112"/>
      <c r="C346" s="130"/>
      <c r="D346" s="112"/>
      <c r="E346" s="112"/>
      <c r="F346" s="130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>
      <c r="A347" s="112"/>
      <c r="B347" s="112"/>
      <c r="C347" s="130"/>
      <c r="D347" s="112"/>
      <c r="E347" s="112"/>
      <c r="F347" s="130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>
      <c r="A348" s="112"/>
      <c r="B348" s="112"/>
      <c r="C348" s="130"/>
      <c r="D348" s="112"/>
      <c r="E348" s="112"/>
      <c r="F348" s="130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>
      <c r="A349" s="112"/>
      <c r="B349" s="112"/>
      <c r="C349" s="130"/>
      <c r="D349" s="112"/>
      <c r="E349" s="112"/>
      <c r="F349" s="130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>
      <c r="A350" s="112"/>
      <c r="B350" s="112"/>
      <c r="C350" s="130"/>
      <c r="D350" s="112"/>
      <c r="E350" s="112"/>
      <c r="F350" s="130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>
      <c r="A351" s="112"/>
      <c r="B351" s="112"/>
      <c r="C351" s="130"/>
      <c r="D351" s="112"/>
      <c r="E351" s="112"/>
      <c r="F351" s="130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>
      <c r="A352" s="112"/>
      <c r="B352" s="112"/>
      <c r="C352" s="130"/>
      <c r="D352" s="112"/>
      <c r="E352" s="112"/>
      <c r="F352" s="130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>
      <c r="A353" s="112"/>
      <c r="B353" s="112"/>
      <c r="C353" s="130"/>
      <c r="D353" s="112"/>
      <c r="E353" s="112"/>
      <c r="F353" s="130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>
      <c r="A354" s="112"/>
      <c r="B354" s="112"/>
      <c r="C354" s="130"/>
      <c r="D354" s="112"/>
      <c r="E354" s="112"/>
      <c r="F354" s="130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>
      <c r="A355" s="112"/>
      <c r="B355" s="112"/>
      <c r="C355" s="130"/>
      <c r="D355" s="112"/>
      <c r="E355" s="112"/>
      <c r="F355" s="130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>
      <c r="A356" s="112"/>
      <c r="B356" s="112"/>
      <c r="C356" s="130"/>
      <c r="D356" s="112"/>
      <c r="E356" s="112"/>
      <c r="F356" s="130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>
      <c r="A357" s="112"/>
      <c r="B357" s="112"/>
      <c r="C357" s="130"/>
      <c r="D357" s="112"/>
      <c r="E357" s="112"/>
      <c r="F357" s="130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>
      <c r="A358" s="112"/>
      <c r="B358" s="112"/>
      <c r="C358" s="130"/>
      <c r="D358" s="112"/>
      <c r="E358" s="112"/>
      <c r="F358" s="130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>
      <c r="A359" s="112"/>
      <c r="B359" s="112"/>
      <c r="C359" s="130"/>
      <c r="D359" s="112"/>
      <c r="E359" s="112"/>
      <c r="F359" s="130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>
      <c r="A360" s="112"/>
      <c r="B360" s="112"/>
      <c r="C360" s="130"/>
      <c r="D360" s="112"/>
      <c r="E360" s="112"/>
      <c r="F360" s="130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>
      <c r="A361" s="112"/>
      <c r="B361" s="112"/>
      <c r="C361" s="130"/>
      <c r="D361" s="112"/>
      <c r="E361" s="112"/>
      <c r="F361" s="130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>
      <c r="A362" s="112"/>
      <c r="B362" s="112"/>
      <c r="C362" s="130"/>
      <c r="D362" s="112"/>
      <c r="E362" s="112"/>
      <c r="F362" s="130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>
      <c r="A363" s="112"/>
      <c r="B363" s="112"/>
      <c r="C363" s="130"/>
      <c r="D363" s="112"/>
      <c r="E363" s="112"/>
      <c r="F363" s="130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>
      <c r="A364" s="112"/>
      <c r="B364" s="112"/>
      <c r="C364" s="130"/>
      <c r="D364" s="112"/>
      <c r="E364" s="112"/>
      <c r="F364" s="130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>
      <c r="A365" s="112"/>
      <c r="B365" s="112"/>
      <c r="C365" s="130"/>
      <c r="D365" s="112"/>
      <c r="E365" s="112"/>
      <c r="F365" s="130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>
      <c r="A366" s="112"/>
      <c r="B366" s="112"/>
      <c r="C366" s="130"/>
      <c r="D366" s="112"/>
      <c r="E366" s="112"/>
      <c r="F366" s="130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>
      <c r="A367" s="112"/>
      <c r="B367" s="112"/>
      <c r="C367" s="130"/>
      <c r="D367" s="112"/>
      <c r="E367" s="112"/>
      <c r="F367" s="130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>
      <c r="A368" s="112"/>
      <c r="B368" s="112"/>
      <c r="C368" s="130"/>
      <c r="D368" s="112"/>
      <c r="E368" s="112"/>
      <c r="F368" s="130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>
      <c r="A369" s="112"/>
      <c r="B369" s="112"/>
      <c r="C369" s="130"/>
      <c r="D369" s="112"/>
      <c r="E369" s="112"/>
      <c r="F369" s="130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>
      <c r="A370" s="112"/>
      <c r="B370" s="112"/>
      <c r="C370" s="130"/>
      <c r="D370" s="112"/>
      <c r="E370" s="112"/>
      <c r="F370" s="130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>
      <c r="A371" s="112"/>
      <c r="B371" s="112"/>
      <c r="C371" s="130"/>
      <c r="D371" s="112"/>
      <c r="E371" s="112"/>
      <c r="F371" s="130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>
      <c r="A372" s="112"/>
      <c r="B372" s="112"/>
      <c r="C372" s="130"/>
      <c r="D372" s="112"/>
      <c r="E372" s="112"/>
      <c r="F372" s="130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>
      <c r="A373" s="112"/>
      <c r="B373" s="112"/>
      <c r="C373" s="130"/>
      <c r="D373" s="112"/>
      <c r="E373" s="112"/>
      <c r="F373" s="130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>
      <c r="A374" s="112"/>
      <c r="B374" s="112"/>
      <c r="C374" s="130"/>
      <c r="D374" s="112"/>
      <c r="E374" s="112"/>
      <c r="F374" s="130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>
      <c r="A375" s="112"/>
      <c r="B375" s="112"/>
      <c r="C375" s="130"/>
      <c r="D375" s="112"/>
      <c r="E375" s="112"/>
      <c r="F375" s="130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>
      <c r="A376" s="112"/>
      <c r="B376" s="112"/>
      <c r="C376" s="130"/>
      <c r="D376" s="112"/>
      <c r="E376" s="112"/>
      <c r="F376" s="130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>
      <c r="A377" s="112"/>
      <c r="B377" s="112"/>
      <c r="C377" s="130"/>
      <c r="D377" s="112"/>
      <c r="E377" s="112"/>
      <c r="F377" s="130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>
      <c r="A378" s="112"/>
      <c r="B378" s="112"/>
      <c r="C378" s="130"/>
      <c r="D378" s="112"/>
      <c r="E378" s="112"/>
      <c r="F378" s="130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>
      <c r="A379" s="112"/>
      <c r="B379" s="112"/>
      <c r="C379" s="130"/>
      <c r="D379" s="112"/>
      <c r="E379" s="112"/>
      <c r="F379" s="130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>
      <c r="A380" s="112"/>
      <c r="B380" s="112"/>
      <c r="C380" s="130"/>
      <c r="D380" s="112"/>
      <c r="E380" s="112"/>
      <c r="F380" s="130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>
      <c r="A381" s="112"/>
      <c r="B381" s="112"/>
      <c r="C381" s="130"/>
      <c r="D381" s="112"/>
      <c r="E381" s="112"/>
      <c r="F381" s="130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>
      <c r="A382" s="112"/>
      <c r="B382" s="112"/>
      <c r="C382" s="130"/>
      <c r="D382" s="112"/>
      <c r="E382" s="112"/>
      <c r="F382" s="130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>
      <c r="A383" s="112"/>
      <c r="B383" s="112"/>
      <c r="C383" s="130"/>
      <c r="D383" s="112"/>
      <c r="E383" s="112"/>
      <c r="F383" s="130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>
      <c r="A384" s="112"/>
      <c r="B384" s="112"/>
      <c r="C384" s="130"/>
      <c r="D384" s="112"/>
      <c r="E384" s="112"/>
      <c r="F384" s="130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>
      <c r="A385" s="112"/>
      <c r="B385" s="112"/>
      <c r="C385" s="130"/>
      <c r="D385" s="112"/>
      <c r="E385" s="112"/>
      <c r="F385" s="130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>
      <c r="A386" s="112"/>
      <c r="B386" s="112"/>
      <c r="C386" s="130"/>
      <c r="D386" s="112"/>
      <c r="E386" s="112"/>
      <c r="F386" s="130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>
      <c r="A387" s="112"/>
      <c r="B387" s="112"/>
      <c r="C387" s="130"/>
      <c r="D387" s="112"/>
      <c r="E387" s="112"/>
      <c r="F387" s="130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>
      <c r="A388" s="112"/>
      <c r="B388" s="112"/>
      <c r="C388" s="130"/>
      <c r="D388" s="112"/>
      <c r="E388" s="112"/>
      <c r="F388" s="130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>
      <c r="A389" s="112"/>
      <c r="B389" s="112"/>
      <c r="C389" s="130"/>
      <c r="D389" s="112"/>
      <c r="E389" s="112"/>
      <c r="F389" s="130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>
      <c r="A390" s="112"/>
      <c r="B390" s="112"/>
      <c r="C390" s="130"/>
      <c r="D390" s="112"/>
      <c r="E390" s="112"/>
      <c r="F390" s="130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>
      <c r="A391" s="112"/>
      <c r="B391" s="112"/>
      <c r="C391" s="130"/>
      <c r="D391" s="112"/>
      <c r="E391" s="112"/>
      <c r="F391" s="130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>
      <c r="A392" s="112"/>
      <c r="B392" s="112"/>
      <c r="C392" s="130"/>
      <c r="D392" s="112"/>
      <c r="E392" s="112"/>
      <c r="F392" s="130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>
      <c r="A393" s="112"/>
      <c r="B393" s="112"/>
      <c r="C393" s="130"/>
      <c r="D393" s="112"/>
      <c r="E393" s="112"/>
      <c r="F393" s="130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>
      <c r="A394" s="112"/>
      <c r="B394" s="112"/>
      <c r="C394" s="130"/>
      <c r="D394" s="112"/>
      <c r="E394" s="112"/>
      <c r="F394" s="130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>
      <c r="A395" s="112"/>
      <c r="B395" s="112"/>
      <c r="C395" s="130"/>
      <c r="D395" s="112"/>
      <c r="E395" s="112"/>
      <c r="F395" s="130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>
      <c r="A396" s="112"/>
      <c r="B396" s="112"/>
      <c r="C396" s="130"/>
      <c r="D396" s="112"/>
      <c r="E396" s="112"/>
      <c r="F396" s="130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>
      <c r="A397" s="112"/>
      <c r="B397" s="112"/>
      <c r="C397" s="130"/>
      <c r="D397" s="112"/>
      <c r="E397" s="112"/>
      <c r="F397" s="130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>
      <c r="A398" s="112"/>
      <c r="B398" s="112"/>
      <c r="C398" s="130"/>
      <c r="D398" s="112"/>
      <c r="E398" s="112"/>
      <c r="F398" s="130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>
      <c r="A399" s="112"/>
      <c r="B399" s="112"/>
      <c r="C399" s="130"/>
      <c r="D399" s="112"/>
      <c r="E399" s="112"/>
      <c r="F399" s="130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>
      <c r="A400" s="112"/>
      <c r="B400" s="112"/>
      <c r="C400" s="130"/>
      <c r="D400" s="112"/>
      <c r="E400" s="112"/>
      <c r="F400" s="130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>
      <c r="A401" s="112"/>
      <c r="B401" s="112"/>
      <c r="C401" s="130"/>
      <c r="D401" s="112"/>
      <c r="E401" s="112"/>
      <c r="F401" s="130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>
      <c r="A402" s="112"/>
      <c r="B402" s="112"/>
      <c r="C402" s="130"/>
      <c r="D402" s="112"/>
      <c r="E402" s="112"/>
      <c r="F402" s="130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>
      <c r="A403" s="112"/>
      <c r="B403" s="112"/>
      <c r="C403" s="130"/>
      <c r="D403" s="112"/>
      <c r="E403" s="112"/>
      <c r="F403" s="130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>
      <c r="A404" s="112"/>
      <c r="B404" s="112"/>
      <c r="C404" s="130"/>
      <c r="D404" s="112"/>
      <c r="E404" s="112"/>
      <c r="F404" s="130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>
      <c r="A405" s="112"/>
      <c r="B405" s="112"/>
      <c r="C405" s="130"/>
      <c r="D405" s="112"/>
      <c r="E405" s="112"/>
      <c r="F405" s="130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>
      <c r="A406" s="112"/>
      <c r="B406" s="112"/>
      <c r="C406" s="130"/>
      <c r="D406" s="112"/>
      <c r="E406" s="112"/>
      <c r="F406" s="130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>
      <c r="A407" s="112"/>
      <c r="B407" s="112"/>
      <c r="C407" s="130"/>
      <c r="D407" s="112"/>
      <c r="E407" s="112"/>
      <c r="F407" s="130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>
      <c r="A408" s="112"/>
      <c r="B408" s="112"/>
      <c r="C408" s="130"/>
      <c r="D408" s="112"/>
      <c r="E408" s="112"/>
      <c r="F408" s="130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>
      <c r="A409" s="112"/>
      <c r="B409" s="112"/>
      <c r="C409" s="130"/>
      <c r="D409" s="112"/>
      <c r="E409" s="112"/>
      <c r="F409" s="130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>
      <c r="A410" s="112"/>
      <c r="B410" s="112"/>
      <c r="C410" s="130"/>
      <c r="D410" s="112"/>
      <c r="E410" s="112"/>
      <c r="F410" s="130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>
      <c r="A411" s="112"/>
      <c r="B411" s="112"/>
      <c r="C411" s="130"/>
      <c r="D411" s="112"/>
      <c r="E411" s="112"/>
      <c r="F411" s="130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>
      <c r="A412" s="112"/>
      <c r="B412" s="112"/>
      <c r="C412" s="130"/>
      <c r="D412" s="112"/>
      <c r="E412" s="112"/>
      <c r="F412" s="130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>
      <c r="A413" s="112"/>
      <c r="B413" s="112"/>
      <c r="C413" s="130"/>
      <c r="D413" s="112"/>
      <c r="E413" s="112"/>
      <c r="F413" s="130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>
      <c r="A414" s="112"/>
      <c r="B414" s="112"/>
      <c r="C414" s="130"/>
      <c r="D414" s="112"/>
      <c r="E414" s="112"/>
      <c r="F414" s="130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>
      <c r="A415" s="112"/>
      <c r="B415" s="112"/>
      <c r="C415" s="130"/>
      <c r="D415" s="112"/>
      <c r="E415" s="112"/>
      <c r="F415" s="130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>
      <c r="A416" s="112"/>
      <c r="B416" s="112"/>
      <c r="C416" s="130"/>
      <c r="D416" s="112"/>
      <c r="E416" s="112"/>
      <c r="F416" s="130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>
      <c r="A417" s="112"/>
      <c r="B417" s="112"/>
      <c r="C417" s="130"/>
      <c r="D417" s="112"/>
      <c r="E417" s="112"/>
      <c r="F417" s="130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>
      <c r="A418" s="112"/>
      <c r="B418" s="112"/>
      <c r="C418" s="130"/>
      <c r="D418" s="112"/>
      <c r="E418" s="112"/>
      <c r="F418" s="130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>
      <c r="A419" s="112"/>
      <c r="B419" s="112"/>
      <c r="C419" s="130"/>
      <c r="D419" s="112"/>
      <c r="E419" s="112"/>
      <c r="F419" s="130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>
      <c r="A420" s="112"/>
      <c r="B420" s="112"/>
      <c r="C420" s="130"/>
      <c r="D420" s="112"/>
      <c r="E420" s="112"/>
      <c r="F420" s="130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>
      <c r="A421" s="112"/>
      <c r="B421" s="112"/>
      <c r="C421" s="130"/>
      <c r="D421" s="112"/>
      <c r="E421" s="112"/>
      <c r="F421" s="130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>
      <c r="A422" s="112"/>
      <c r="B422" s="112"/>
      <c r="C422" s="130"/>
      <c r="D422" s="112"/>
      <c r="E422" s="112"/>
      <c r="F422" s="130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>
      <c r="A423" s="112"/>
      <c r="B423" s="112"/>
      <c r="C423" s="130"/>
      <c r="D423" s="112"/>
      <c r="E423" s="112"/>
      <c r="F423" s="130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>
      <c r="A424" s="112"/>
      <c r="B424" s="112"/>
      <c r="C424" s="130"/>
      <c r="D424" s="112"/>
      <c r="E424" s="112"/>
      <c r="F424" s="130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>
      <c r="A425" s="112"/>
      <c r="B425" s="112"/>
      <c r="C425" s="130"/>
      <c r="D425" s="112"/>
      <c r="E425" s="112"/>
      <c r="F425" s="130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>
      <c r="A426" s="112"/>
      <c r="B426" s="112"/>
      <c r="C426" s="130"/>
      <c r="D426" s="112"/>
      <c r="E426" s="112"/>
      <c r="F426" s="130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>
      <c r="A427" s="112"/>
      <c r="B427" s="112"/>
      <c r="C427" s="130"/>
      <c r="D427" s="112"/>
      <c r="E427" s="112"/>
      <c r="F427" s="130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>
      <c r="A428" s="112"/>
      <c r="B428" s="112"/>
      <c r="C428" s="130"/>
      <c r="D428" s="112"/>
      <c r="E428" s="112"/>
      <c r="F428" s="130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>
      <c r="A429" s="112"/>
      <c r="B429" s="112"/>
      <c r="C429" s="130"/>
      <c r="D429" s="112"/>
      <c r="E429" s="112"/>
      <c r="F429" s="130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>
      <c r="A430" s="112"/>
      <c r="B430" s="112"/>
      <c r="C430" s="130"/>
      <c r="D430" s="112"/>
      <c r="E430" s="112"/>
      <c r="F430" s="130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>
      <c r="A431" s="112"/>
      <c r="B431" s="112"/>
      <c r="C431" s="130"/>
      <c r="D431" s="112"/>
      <c r="E431" s="112"/>
      <c r="F431" s="130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>
      <c r="A432" s="112"/>
      <c r="B432" s="112"/>
      <c r="C432" s="130"/>
      <c r="D432" s="112"/>
      <c r="E432" s="112"/>
      <c r="F432" s="130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>
      <c r="A433" s="112"/>
      <c r="B433" s="112"/>
      <c r="C433" s="130"/>
      <c r="D433" s="112"/>
      <c r="E433" s="112"/>
      <c r="F433" s="130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>
      <c r="A434" s="112"/>
      <c r="B434" s="112"/>
      <c r="C434" s="130"/>
      <c r="D434" s="112"/>
      <c r="E434" s="112"/>
      <c r="F434" s="130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>
      <c r="A435" s="112"/>
      <c r="B435" s="112"/>
      <c r="C435" s="130"/>
      <c r="D435" s="112"/>
      <c r="E435" s="112"/>
      <c r="F435" s="130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>
      <c r="A436" s="112"/>
      <c r="B436" s="112"/>
      <c r="C436" s="130"/>
      <c r="D436" s="112"/>
      <c r="E436" s="112"/>
      <c r="F436" s="130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>
      <c r="A437" s="112"/>
      <c r="B437" s="112"/>
      <c r="C437" s="130"/>
      <c r="D437" s="112"/>
      <c r="E437" s="112"/>
      <c r="F437" s="130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>
      <c r="A438" s="112"/>
      <c r="B438" s="112"/>
      <c r="C438" s="130"/>
      <c r="D438" s="112"/>
      <c r="E438" s="112"/>
      <c r="F438" s="130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>
      <c r="A439" s="112"/>
      <c r="B439" s="112"/>
      <c r="C439" s="130"/>
      <c r="D439" s="112"/>
      <c r="E439" s="112"/>
      <c r="F439" s="130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>
      <c r="A440" s="112"/>
      <c r="B440" s="112"/>
      <c r="C440" s="130"/>
      <c r="D440" s="112"/>
      <c r="E440" s="112"/>
      <c r="F440" s="130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>
      <c r="A441" s="112"/>
      <c r="B441" s="112"/>
      <c r="C441" s="130"/>
      <c r="D441" s="112"/>
      <c r="E441" s="112"/>
      <c r="F441" s="130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>
      <c r="A442" s="112"/>
      <c r="B442" s="112"/>
      <c r="C442" s="130"/>
      <c r="D442" s="112"/>
      <c r="E442" s="112"/>
      <c r="F442" s="130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>
      <c r="A443" s="112"/>
      <c r="B443" s="112"/>
      <c r="C443" s="130"/>
      <c r="D443" s="112"/>
      <c r="E443" s="112"/>
      <c r="F443" s="130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>
      <c r="A444" s="112"/>
      <c r="B444" s="112"/>
      <c r="C444" s="130"/>
      <c r="D444" s="112"/>
      <c r="E444" s="112"/>
      <c r="F444" s="130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>
      <c r="A445" s="112"/>
      <c r="B445" s="112"/>
      <c r="C445" s="130"/>
      <c r="D445" s="112"/>
      <c r="E445" s="112"/>
      <c r="F445" s="130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>
      <c r="A446" s="112"/>
      <c r="B446" s="112"/>
      <c r="C446" s="130"/>
      <c r="D446" s="112"/>
      <c r="E446" s="112"/>
      <c r="F446" s="130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>
      <c r="A447" s="112"/>
      <c r="B447" s="112"/>
      <c r="C447" s="130"/>
      <c r="D447" s="112"/>
      <c r="E447" s="112"/>
      <c r="F447" s="130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>
      <c r="A448" s="112"/>
      <c r="B448" s="112"/>
      <c r="C448" s="130"/>
      <c r="D448" s="112"/>
      <c r="E448" s="112"/>
      <c r="F448" s="130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>
      <c r="A449" s="112"/>
      <c r="B449" s="112"/>
      <c r="C449" s="130"/>
      <c r="D449" s="112"/>
      <c r="E449" s="112"/>
      <c r="F449" s="130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>
      <c r="A450" s="112"/>
      <c r="B450" s="112"/>
      <c r="C450" s="130"/>
      <c r="D450" s="112"/>
      <c r="E450" s="112"/>
      <c r="F450" s="130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>
      <c r="A451" s="112"/>
      <c r="B451" s="112"/>
      <c r="C451" s="130"/>
      <c r="D451" s="112"/>
      <c r="E451" s="112"/>
      <c r="F451" s="130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>
      <c r="A452" s="112"/>
      <c r="B452" s="112"/>
      <c r="C452" s="130"/>
      <c r="D452" s="112"/>
      <c r="E452" s="112"/>
      <c r="F452" s="130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>
      <c r="A453" s="112"/>
      <c r="B453" s="112"/>
      <c r="C453" s="130"/>
      <c r="D453" s="112"/>
      <c r="E453" s="112"/>
      <c r="F453" s="130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>
      <c r="A454" s="112"/>
      <c r="B454" s="112"/>
      <c r="C454" s="130"/>
      <c r="D454" s="112"/>
      <c r="E454" s="112"/>
      <c r="F454" s="130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>
      <c r="A455" s="112"/>
      <c r="B455" s="112"/>
      <c r="C455" s="130"/>
      <c r="D455" s="112"/>
      <c r="E455" s="112"/>
      <c r="F455" s="130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>
      <c r="A456" s="112"/>
      <c r="B456" s="112"/>
      <c r="C456" s="130"/>
      <c r="D456" s="112"/>
      <c r="E456" s="112"/>
      <c r="F456" s="130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>
      <c r="A457" s="112"/>
      <c r="B457" s="112"/>
      <c r="C457" s="130"/>
      <c r="D457" s="112"/>
      <c r="E457" s="112"/>
      <c r="F457" s="130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>
      <c r="A458" s="112"/>
      <c r="B458" s="112"/>
      <c r="C458" s="130"/>
      <c r="D458" s="112"/>
      <c r="E458" s="112"/>
      <c r="F458" s="130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>
      <c r="A459" s="112"/>
      <c r="B459" s="112"/>
      <c r="C459" s="130"/>
      <c r="D459" s="112"/>
      <c r="E459" s="112"/>
      <c r="F459" s="130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>
      <c r="A460" s="112"/>
      <c r="B460" s="112"/>
      <c r="C460" s="130"/>
      <c r="D460" s="112"/>
      <c r="E460" s="112"/>
      <c r="F460" s="130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>
      <c r="A461" s="112"/>
      <c r="B461" s="112"/>
      <c r="C461" s="130"/>
      <c r="D461" s="112"/>
      <c r="E461" s="112"/>
      <c r="F461" s="130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>
      <c r="A462" s="112"/>
      <c r="B462" s="112"/>
      <c r="C462" s="130"/>
      <c r="D462" s="112"/>
      <c r="E462" s="112"/>
      <c r="F462" s="130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>
      <c r="A463" s="112"/>
      <c r="B463" s="112"/>
      <c r="C463" s="130"/>
      <c r="D463" s="112"/>
      <c r="E463" s="112"/>
      <c r="F463" s="130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>
      <c r="A464" s="112"/>
      <c r="B464" s="112"/>
      <c r="C464" s="130"/>
      <c r="D464" s="112"/>
      <c r="E464" s="112"/>
      <c r="F464" s="130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>
      <c r="A465" s="112"/>
      <c r="B465" s="112"/>
      <c r="C465" s="130"/>
      <c r="D465" s="112"/>
      <c r="E465" s="112"/>
      <c r="F465" s="130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>
      <c r="A466" s="112"/>
      <c r="B466" s="112"/>
      <c r="C466" s="130"/>
      <c r="D466" s="112"/>
      <c r="E466" s="112"/>
      <c r="F466" s="130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>
      <c r="A467" s="112"/>
      <c r="B467" s="112"/>
      <c r="C467" s="130"/>
      <c r="D467" s="112"/>
      <c r="E467" s="112"/>
      <c r="F467" s="130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>
      <c r="A468" s="112"/>
      <c r="B468" s="112"/>
      <c r="C468" s="130"/>
      <c r="D468" s="112"/>
      <c r="E468" s="112"/>
      <c r="F468" s="130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>
      <c r="A469" s="112"/>
      <c r="B469" s="112"/>
      <c r="C469" s="130"/>
      <c r="D469" s="112"/>
      <c r="E469" s="112"/>
      <c r="F469" s="130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>
      <c r="A470" s="112"/>
      <c r="B470" s="112"/>
      <c r="C470" s="130"/>
      <c r="D470" s="112"/>
      <c r="E470" s="112"/>
      <c r="F470" s="130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>
      <c r="A471" s="112"/>
      <c r="B471" s="112"/>
      <c r="C471" s="130"/>
      <c r="D471" s="112"/>
      <c r="E471" s="112"/>
      <c r="F471" s="130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>
      <c r="A472" s="112"/>
      <c r="B472" s="112"/>
      <c r="C472" s="130"/>
      <c r="D472" s="112"/>
      <c r="E472" s="112"/>
      <c r="F472" s="130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>
      <c r="A473" s="112"/>
      <c r="B473" s="112"/>
      <c r="C473" s="130"/>
      <c r="D473" s="112"/>
      <c r="E473" s="112"/>
      <c r="F473" s="130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>
      <c r="A474" s="112"/>
      <c r="B474" s="112"/>
      <c r="C474" s="130"/>
      <c r="D474" s="112"/>
      <c r="E474" s="112"/>
      <c r="F474" s="130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>
      <c r="A475" s="112"/>
      <c r="B475" s="112"/>
      <c r="C475" s="130"/>
      <c r="D475" s="112"/>
      <c r="E475" s="112"/>
      <c r="F475" s="130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>
      <c r="A476" s="112"/>
      <c r="B476" s="112"/>
      <c r="C476" s="130"/>
      <c r="D476" s="112"/>
      <c r="E476" s="112"/>
      <c r="F476" s="130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>
      <c r="A477" s="112"/>
      <c r="B477" s="112"/>
      <c r="C477" s="130"/>
      <c r="D477" s="112"/>
      <c r="E477" s="112"/>
      <c r="F477" s="130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>
      <c r="A478" s="112"/>
      <c r="B478" s="112"/>
      <c r="C478" s="130"/>
      <c r="D478" s="112"/>
      <c r="E478" s="112"/>
      <c r="F478" s="130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>
      <c r="A479" s="112"/>
      <c r="B479" s="112"/>
      <c r="C479" s="130"/>
      <c r="D479" s="112"/>
      <c r="E479" s="112"/>
      <c r="F479" s="130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>
      <c r="A480" s="112"/>
      <c r="B480" s="112"/>
      <c r="C480" s="130"/>
      <c r="D480" s="112"/>
      <c r="E480" s="112"/>
      <c r="F480" s="130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>
      <c r="A481" s="112"/>
      <c r="B481" s="112"/>
      <c r="C481" s="130"/>
      <c r="D481" s="112"/>
      <c r="E481" s="112"/>
      <c r="F481" s="130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>
      <c r="A482" s="112"/>
      <c r="B482" s="112"/>
      <c r="C482" s="130"/>
      <c r="D482" s="112"/>
      <c r="E482" s="112"/>
      <c r="F482" s="130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>
      <c r="A483" s="112"/>
      <c r="B483" s="112"/>
      <c r="C483" s="130"/>
      <c r="D483" s="112"/>
      <c r="E483" s="112"/>
      <c r="F483" s="130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>
      <c r="A484" s="112"/>
      <c r="B484" s="112"/>
      <c r="C484" s="130"/>
      <c r="D484" s="112"/>
      <c r="E484" s="112"/>
      <c r="F484" s="130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>
      <c r="A485" s="112"/>
      <c r="B485" s="112"/>
      <c r="C485" s="130"/>
      <c r="D485" s="112"/>
      <c r="E485" s="112"/>
      <c r="F485" s="130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>
      <c r="A486" s="112"/>
      <c r="B486" s="112"/>
      <c r="C486" s="130"/>
      <c r="D486" s="112"/>
      <c r="E486" s="112"/>
      <c r="F486" s="130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>
      <c r="A487" s="112"/>
      <c r="B487" s="112"/>
      <c r="C487" s="130"/>
      <c r="D487" s="112"/>
      <c r="E487" s="112"/>
      <c r="F487" s="130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>
      <c r="A488" s="112"/>
      <c r="B488" s="112"/>
      <c r="C488" s="130"/>
      <c r="D488" s="112"/>
      <c r="E488" s="112"/>
      <c r="F488" s="130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>
      <c r="A489" s="112"/>
      <c r="B489" s="112"/>
      <c r="C489" s="130"/>
      <c r="D489" s="112"/>
      <c r="E489" s="112"/>
      <c r="F489" s="130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>
      <c r="A490" s="112"/>
      <c r="B490" s="112"/>
      <c r="C490" s="130"/>
      <c r="D490" s="112"/>
      <c r="E490" s="112"/>
      <c r="F490" s="130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>
      <c r="A491" s="112"/>
      <c r="B491" s="112"/>
      <c r="C491" s="130"/>
      <c r="D491" s="112"/>
      <c r="E491" s="112"/>
      <c r="F491" s="130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>
      <c r="A492" s="112"/>
      <c r="B492" s="112"/>
      <c r="C492" s="130"/>
      <c r="D492" s="112"/>
      <c r="E492" s="112"/>
      <c r="F492" s="130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>
      <c r="A493" s="112"/>
      <c r="B493" s="112"/>
      <c r="C493" s="130"/>
      <c r="D493" s="112"/>
      <c r="E493" s="112"/>
      <c r="F493" s="130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>
      <c r="A494" s="112"/>
      <c r="B494" s="112"/>
      <c r="C494" s="130"/>
      <c r="D494" s="112"/>
      <c r="E494" s="112"/>
      <c r="F494" s="130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>
      <c r="A495" s="112"/>
      <c r="B495" s="112"/>
      <c r="C495" s="130"/>
      <c r="D495" s="112"/>
      <c r="E495" s="112"/>
      <c r="F495" s="130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>
      <c r="A496" s="112"/>
      <c r="B496" s="112"/>
      <c r="C496" s="130"/>
      <c r="D496" s="112"/>
      <c r="E496" s="112"/>
      <c r="F496" s="130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>
      <c r="A497" s="112"/>
      <c r="B497" s="112"/>
      <c r="C497" s="130"/>
      <c r="D497" s="112"/>
      <c r="E497" s="112"/>
      <c r="F497" s="130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>
      <c r="A498" s="112"/>
      <c r="B498" s="112"/>
      <c r="C498" s="130"/>
      <c r="D498" s="112"/>
      <c r="E498" s="112"/>
      <c r="F498" s="130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>
      <c r="A499" s="112"/>
      <c r="B499" s="112"/>
      <c r="C499" s="130"/>
      <c r="D499" s="112"/>
      <c r="E499" s="112"/>
      <c r="F499" s="130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>
      <c r="A500" s="112"/>
      <c r="B500" s="112"/>
      <c r="C500" s="130"/>
      <c r="D500" s="112"/>
      <c r="E500" s="112"/>
      <c r="F500" s="130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>
      <c r="A501" s="112"/>
      <c r="B501" s="112"/>
      <c r="C501" s="130"/>
      <c r="D501" s="112"/>
      <c r="E501" s="112"/>
      <c r="F501" s="130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>
      <c r="A502" s="112"/>
      <c r="B502" s="112"/>
      <c r="C502" s="130"/>
      <c r="D502" s="112"/>
      <c r="E502" s="112"/>
      <c r="F502" s="130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>
      <c r="A503" s="112"/>
      <c r="B503" s="112"/>
      <c r="C503" s="130"/>
      <c r="D503" s="112"/>
      <c r="E503" s="112"/>
      <c r="F503" s="130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>
      <c r="A504" s="112"/>
      <c r="B504" s="112"/>
      <c r="C504" s="130"/>
      <c r="D504" s="112"/>
      <c r="E504" s="112"/>
      <c r="F504" s="130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>
      <c r="A505" s="112"/>
      <c r="B505" s="112"/>
      <c r="C505" s="130"/>
      <c r="D505" s="112"/>
      <c r="E505" s="112"/>
      <c r="F505" s="130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>
      <c r="A506" s="112"/>
      <c r="B506" s="112"/>
      <c r="C506" s="130"/>
      <c r="D506" s="112"/>
      <c r="E506" s="112"/>
      <c r="F506" s="130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>
      <c r="A507" s="112"/>
      <c r="B507" s="112"/>
      <c r="C507" s="130"/>
      <c r="D507" s="112"/>
      <c r="E507" s="112"/>
      <c r="F507" s="130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>
      <c r="A508" s="112"/>
      <c r="B508" s="112"/>
      <c r="C508" s="130"/>
      <c r="D508" s="112"/>
      <c r="E508" s="112"/>
      <c r="F508" s="130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>
      <c r="A509" s="112"/>
      <c r="B509" s="112"/>
      <c r="C509" s="130"/>
      <c r="D509" s="112"/>
      <c r="E509" s="112"/>
      <c r="F509" s="130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>
      <c r="A510" s="112"/>
      <c r="B510" s="112"/>
      <c r="C510" s="130"/>
      <c r="D510" s="112"/>
      <c r="E510" s="112"/>
      <c r="F510" s="130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>
      <c r="A511" s="112"/>
      <c r="B511" s="112"/>
      <c r="C511" s="130"/>
      <c r="D511" s="112"/>
      <c r="E511" s="112"/>
      <c r="F511" s="130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>
      <c r="A512" s="112"/>
      <c r="B512" s="112"/>
      <c r="C512" s="130"/>
      <c r="D512" s="112"/>
      <c r="E512" s="112"/>
      <c r="F512" s="130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>
      <c r="A513" s="112"/>
      <c r="B513" s="112"/>
      <c r="C513" s="130"/>
      <c r="D513" s="112"/>
      <c r="E513" s="112"/>
      <c r="F513" s="130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>
      <c r="A514" s="112"/>
      <c r="B514" s="112"/>
      <c r="C514" s="130"/>
      <c r="D514" s="112"/>
      <c r="E514" s="112"/>
      <c r="F514" s="130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>
      <c r="A515" s="112"/>
      <c r="B515" s="112"/>
      <c r="C515" s="130"/>
      <c r="D515" s="112"/>
      <c r="E515" s="112"/>
      <c r="F515" s="130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>
      <c r="A516" s="112"/>
      <c r="B516" s="112"/>
      <c r="C516" s="130"/>
      <c r="D516" s="112"/>
      <c r="E516" s="112"/>
      <c r="F516" s="130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>
      <c r="A517" s="112"/>
      <c r="B517" s="112"/>
      <c r="C517" s="130"/>
      <c r="D517" s="112"/>
      <c r="E517" s="112"/>
      <c r="F517" s="130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>
      <c r="A518" s="112"/>
      <c r="B518" s="112"/>
      <c r="C518" s="130"/>
      <c r="D518" s="112"/>
      <c r="E518" s="112"/>
      <c r="F518" s="130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>
      <c r="A519" s="112"/>
      <c r="B519" s="112"/>
      <c r="C519" s="130"/>
      <c r="D519" s="112"/>
      <c r="E519" s="112"/>
      <c r="F519" s="130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>
      <c r="A520" s="112"/>
      <c r="B520" s="112"/>
      <c r="C520" s="130"/>
      <c r="D520" s="112"/>
      <c r="E520" s="112"/>
      <c r="F520" s="130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>
      <c r="A521" s="112"/>
      <c r="B521" s="112"/>
      <c r="C521" s="130"/>
      <c r="D521" s="112"/>
      <c r="E521" s="112"/>
      <c r="F521" s="130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>
      <c r="A522" s="112"/>
      <c r="B522" s="112"/>
      <c r="C522" s="130"/>
      <c r="D522" s="112"/>
      <c r="E522" s="112"/>
      <c r="F522" s="130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>
      <c r="A523" s="112"/>
      <c r="B523" s="112"/>
      <c r="C523" s="130"/>
      <c r="D523" s="112"/>
      <c r="E523" s="112"/>
      <c r="F523" s="130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>
      <c r="A524" s="112"/>
      <c r="B524" s="112"/>
      <c r="C524" s="130"/>
      <c r="D524" s="112"/>
      <c r="E524" s="112"/>
      <c r="F524" s="130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>
      <c r="A525" s="112"/>
      <c r="B525" s="112"/>
      <c r="C525" s="130"/>
      <c r="D525" s="112"/>
      <c r="E525" s="112"/>
      <c r="F525" s="130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>
      <c r="A526" s="112"/>
      <c r="B526" s="112"/>
      <c r="C526" s="130"/>
      <c r="D526" s="112"/>
      <c r="E526" s="112"/>
      <c r="F526" s="130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>
      <c r="A527" s="112"/>
      <c r="B527" s="112"/>
      <c r="C527" s="130"/>
      <c r="D527" s="112"/>
      <c r="E527" s="112"/>
      <c r="F527" s="130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>
      <c r="A528" s="112"/>
      <c r="B528" s="112"/>
      <c r="C528" s="130"/>
      <c r="D528" s="112"/>
      <c r="E528" s="112"/>
      <c r="F528" s="130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>
      <c r="A529" s="112"/>
      <c r="B529" s="112"/>
      <c r="C529" s="130"/>
      <c r="D529" s="112"/>
      <c r="E529" s="112"/>
      <c r="F529" s="130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>
      <c r="A530" s="112"/>
      <c r="B530" s="112"/>
      <c r="C530" s="130"/>
      <c r="D530" s="112"/>
      <c r="E530" s="112"/>
      <c r="F530" s="130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>
      <c r="A531" s="112"/>
      <c r="B531" s="112"/>
      <c r="C531" s="130"/>
      <c r="D531" s="112"/>
      <c r="E531" s="112"/>
      <c r="F531" s="130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>
      <c r="A532" s="112"/>
      <c r="B532" s="112"/>
      <c r="C532" s="130"/>
      <c r="D532" s="112"/>
      <c r="E532" s="112"/>
      <c r="F532" s="130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>
      <c r="A533" s="112"/>
      <c r="B533" s="112"/>
      <c r="C533" s="130"/>
      <c r="D533" s="112"/>
      <c r="E533" s="112"/>
      <c r="F533" s="130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>
      <c r="A534" s="112"/>
      <c r="B534" s="112"/>
      <c r="C534" s="130"/>
      <c r="D534" s="112"/>
      <c r="E534" s="112"/>
      <c r="F534" s="130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>
      <c r="A535" s="112"/>
      <c r="B535" s="112"/>
      <c r="C535" s="130"/>
      <c r="D535" s="112"/>
      <c r="E535" s="112"/>
      <c r="F535" s="130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>
      <c r="A536" s="112"/>
      <c r="B536" s="112"/>
      <c r="C536" s="130"/>
      <c r="D536" s="112"/>
      <c r="E536" s="112"/>
      <c r="F536" s="130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>
      <c r="A537" s="112"/>
      <c r="B537" s="112"/>
      <c r="C537" s="130"/>
      <c r="D537" s="112"/>
      <c r="E537" s="112"/>
      <c r="F537" s="130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>
      <c r="A538" s="112"/>
      <c r="B538" s="112"/>
      <c r="C538" s="130"/>
      <c r="D538" s="112"/>
      <c r="E538" s="112"/>
      <c r="F538" s="130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>
      <c r="A539" s="112"/>
      <c r="B539" s="112"/>
      <c r="C539" s="130"/>
      <c r="D539" s="112"/>
      <c r="E539" s="112"/>
      <c r="F539" s="130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>
      <c r="A540" s="112"/>
      <c r="B540" s="112"/>
      <c r="C540" s="130"/>
      <c r="D540" s="112"/>
      <c r="E540" s="112"/>
      <c r="F540" s="130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>
      <c r="A541" s="112"/>
      <c r="B541" s="112"/>
      <c r="C541" s="130"/>
      <c r="D541" s="112"/>
      <c r="E541" s="112"/>
      <c r="F541" s="130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>
      <c r="A542" s="112"/>
      <c r="B542" s="112"/>
      <c r="C542" s="130"/>
      <c r="D542" s="112"/>
      <c r="E542" s="112"/>
      <c r="F542" s="130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>
      <c r="A543" s="112"/>
      <c r="B543" s="112"/>
      <c r="C543" s="130"/>
      <c r="D543" s="112"/>
      <c r="E543" s="112"/>
      <c r="F543" s="130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>
      <c r="A544" s="112"/>
      <c r="B544" s="112"/>
      <c r="C544" s="130"/>
      <c r="D544" s="112"/>
      <c r="E544" s="112"/>
      <c r="F544" s="130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>
      <c r="A545" s="112"/>
      <c r="B545" s="112"/>
      <c r="C545" s="130"/>
      <c r="D545" s="112"/>
      <c r="E545" s="112"/>
      <c r="F545" s="130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>
      <c r="A546" s="112"/>
      <c r="B546" s="112"/>
      <c r="C546" s="130"/>
      <c r="D546" s="112"/>
      <c r="E546" s="112"/>
      <c r="F546" s="130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>
      <c r="A547" s="112"/>
      <c r="B547" s="112"/>
      <c r="C547" s="130"/>
      <c r="D547" s="112"/>
      <c r="E547" s="112"/>
      <c r="F547" s="130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>
      <c r="A548" s="112"/>
      <c r="B548" s="112"/>
      <c r="C548" s="130"/>
      <c r="D548" s="112"/>
      <c r="E548" s="112"/>
      <c r="F548" s="130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>
      <c r="A549" s="112"/>
      <c r="B549" s="112"/>
      <c r="C549" s="130"/>
      <c r="D549" s="112"/>
      <c r="E549" s="112"/>
      <c r="F549" s="130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>
      <c r="A550" s="112"/>
      <c r="B550" s="112"/>
      <c r="C550" s="130"/>
      <c r="D550" s="112"/>
      <c r="E550" s="112"/>
      <c r="F550" s="130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>
      <c r="A551" s="112"/>
      <c r="B551" s="112"/>
      <c r="C551" s="130"/>
      <c r="D551" s="112"/>
      <c r="E551" s="112"/>
      <c r="F551" s="130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>
      <c r="A552" s="112"/>
      <c r="B552" s="112"/>
      <c r="C552" s="130"/>
      <c r="D552" s="112"/>
      <c r="E552" s="112"/>
      <c r="F552" s="130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>
      <c r="A553" s="112"/>
      <c r="B553" s="112"/>
      <c r="C553" s="130"/>
      <c r="D553" s="112"/>
      <c r="E553" s="112"/>
      <c r="F553" s="130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>
      <c r="A554" s="112"/>
      <c r="B554" s="112"/>
      <c r="C554" s="130"/>
      <c r="D554" s="112"/>
      <c r="E554" s="112"/>
      <c r="F554" s="130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>
      <c r="A555" s="112"/>
      <c r="B555" s="112"/>
      <c r="C555" s="130"/>
      <c r="D555" s="112"/>
      <c r="E555" s="112"/>
      <c r="F555" s="130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>
      <c r="A556" s="112"/>
      <c r="B556" s="112"/>
      <c r="C556" s="130"/>
      <c r="D556" s="112"/>
      <c r="E556" s="112"/>
      <c r="F556" s="130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>
      <c r="A557" s="112"/>
      <c r="B557" s="112"/>
      <c r="C557" s="130"/>
      <c r="D557" s="112"/>
      <c r="E557" s="112"/>
      <c r="F557" s="130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>
      <c r="A558" s="112"/>
      <c r="B558" s="112"/>
      <c r="C558" s="130"/>
      <c r="D558" s="112"/>
      <c r="E558" s="112"/>
      <c r="F558" s="130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>
      <c r="A559" s="112"/>
      <c r="B559" s="112"/>
      <c r="C559" s="130"/>
      <c r="D559" s="112"/>
      <c r="E559" s="112"/>
      <c r="F559" s="130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>
      <c r="A560" s="112"/>
      <c r="B560" s="112"/>
      <c r="C560" s="130"/>
      <c r="D560" s="112"/>
      <c r="E560" s="112"/>
      <c r="F560" s="130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>
      <c r="A561" s="112"/>
      <c r="B561" s="112"/>
      <c r="C561" s="130"/>
      <c r="D561" s="112"/>
      <c r="E561" s="112"/>
      <c r="F561" s="130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>
      <c r="A562" s="112"/>
      <c r="B562" s="112"/>
      <c r="C562" s="130"/>
      <c r="D562" s="112"/>
      <c r="E562" s="112"/>
      <c r="F562" s="130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>
      <c r="A563" s="112"/>
      <c r="B563" s="112"/>
      <c r="C563" s="130"/>
      <c r="D563" s="112"/>
      <c r="E563" s="112"/>
      <c r="F563" s="130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>
      <c r="A564" s="112"/>
      <c r="B564" s="112"/>
      <c r="C564" s="130"/>
      <c r="D564" s="112"/>
      <c r="E564" s="112"/>
      <c r="F564" s="130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>
      <c r="A565" s="112"/>
      <c r="B565" s="112"/>
      <c r="C565" s="130"/>
      <c r="D565" s="112"/>
      <c r="E565" s="112"/>
      <c r="F565" s="130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>
      <c r="A566" s="112"/>
      <c r="B566" s="112"/>
      <c r="C566" s="130"/>
      <c r="D566" s="112"/>
      <c r="E566" s="112"/>
      <c r="F566" s="130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>
      <c r="A567" s="112"/>
      <c r="B567" s="112"/>
      <c r="C567" s="130"/>
      <c r="D567" s="112"/>
      <c r="E567" s="112"/>
      <c r="F567" s="130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>
      <c r="A568" s="112"/>
      <c r="B568" s="112"/>
      <c r="C568" s="130"/>
      <c r="D568" s="112"/>
      <c r="E568" s="112"/>
      <c r="F568" s="130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>
      <c r="A569" s="112"/>
      <c r="B569" s="112"/>
      <c r="C569" s="130"/>
      <c r="D569" s="112"/>
      <c r="E569" s="112"/>
      <c r="F569" s="130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>
      <c r="A570" s="112"/>
      <c r="B570" s="112"/>
      <c r="C570" s="130"/>
      <c r="D570" s="112"/>
      <c r="E570" s="112"/>
      <c r="F570" s="130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>
      <c r="A571" s="112"/>
      <c r="B571" s="112"/>
      <c r="C571" s="130"/>
      <c r="D571" s="112"/>
      <c r="E571" s="112"/>
      <c r="F571" s="130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>
      <c r="A572" s="112"/>
      <c r="B572" s="112"/>
      <c r="C572" s="130"/>
      <c r="D572" s="112"/>
      <c r="E572" s="112"/>
      <c r="F572" s="130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>
      <c r="A573" s="112"/>
      <c r="B573" s="112"/>
      <c r="C573" s="130"/>
      <c r="D573" s="112"/>
      <c r="E573" s="112"/>
      <c r="F573" s="130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>
      <c r="A574" s="112"/>
      <c r="B574" s="112"/>
      <c r="C574" s="130"/>
      <c r="D574" s="112"/>
      <c r="E574" s="112"/>
      <c r="F574" s="130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>
      <c r="A575" s="112"/>
      <c r="B575" s="112"/>
      <c r="C575" s="130"/>
      <c r="D575" s="112"/>
      <c r="E575" s="112"/>
      <c r="F575" s="130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>
      <c r="A576" s="112"/>
      <c r="B576" s="112"/>
      <c r="C576" s="130"/>
      <c r="D576" s="112"/>
      <c r="E576" s="112"/>
      <c r="F576" s="130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>
      <c r="A577" s="112"/>
      <c r="B577" s="112"/>
      <c r="C577" s="130"/>
      <c r="D577" s="112"/>
      <c r="E577" s="112"/>
      <c r="F577" s="130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>
      <c r="A578" s="112"/>
      <c r="B578" s="112"/>
      <c r="C578" s="130"/>
      <c r="D578" s="112"/>
      <c r="E578" s="112"/>
      <c r="F578" s="130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>
      <c r="A579" s="112"/>
      <c r="B579" s="112"/>
      <c r="C579" s="130"/>
      <c r="D579" s="112"/>
      <c r="E579" s="112"/>
      <c r="F579" s="130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>
      <c r="A580" s="112"/>
      <c r="B580" s="112"/>
      <c r="C580" s="130"/>
      <c r="D580" s="112"/>
      <c r="E580" s="112"/>
      <c r="F580" s="130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>
      <c r="A581" s="112"/>
      <c r="B581" s="112"/>
      <c r="C581" s="130"/>
      <c r="D581" s="112"/>
      <c r="E581" s="112"/>
      <c r="F581" s="130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>
      <c r="A582" s="112"/>
      <c r="B582" s="112"/>
      <c r="C582" s="130"/>
      <c r="D582" s="112"/>
      <c r="E582" s="112"/>
      <c r="F582" s="130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>
      <c r="A583" s="112"/>
      <c r="B583" s="112"/>
      <c r="C583" s="130"/>
      <c r="D583" s="112"/>
      <c r="E583" s="112"/>
      <c r="F583" s="130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>
      <c r="A584" s="112"/>
      <c r="B584" s="112"/>
      <c r="C584" s="130"/>
      <c r="D584" s="112"/>
      <c r="E584" s="112"/>
      <c r="F584" s="130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>
      <c r="A585" s="112"/>
      <c r="B585" s="112"/>
      <c r="C585" s="130"/>
      <c r="D585" s="112"/>
      <c r="E585" s="112"/>
      <c r="F585" s="130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>
      <c r="A586" s="112"/>
      <c r="B586" s="112"/>
      <c r="C586" s="130"/>
      <c r="D586" s="112"/>
      <c r="E586" s="112"/>
      <c r="F586" s="130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>
      <c r="A587" s="112"/>
      <c r="B587" s="112"/>
      <c r="C587" s="130"/>
      <c r="D587" s="112"/>
      <c r="E587" s="112"/>
      <c r="F587" s="130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>
      <c r="A588" s="112"/>
      <c r="B588" s="112"/>
      <c r="C588" s="130"/>
      <c r="D588" s="112"/>
      <c r="E588" s="112"/>
      <c r="F588" s="130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>
      <c r="A589" s="112"/>
      <c r="B589" s="112"/>
      <c r="C589" s="130"/>
      <c r="D589" s="112"/>
      <c r="E589" s="112"/>
      <c r="F589" s="130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>
      <c r="A590" s="112"/>
      <c r="B590" s="112"/>
      <c r="C590" s="130"/>
      <c r="D590" s="112"/>
      <c r="E590" s="112"/>
      <c r="F590" s="130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>
      <c r="A591" s="112"/>
      <c r="B591" s="112"/>
      <c r="C591" s="130"/>
      <c r="D591" s="112"/>
      <c r="E591" s="112"/>
      <c r="F591" s="130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>
      <c r="A592" s="112"/>
      <c r="B592" s="112"/>
      <c r="C592" s="130"/>
      <c r="D592" s="112"/>
      <c r="E592" s="112"/>
      <c r="F592" s="130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>
      <c r="A593" s="112"/>
      <c r="B593" s="112"/>
      <c r="C593" s="130"/>
      <c r="D593" s="112"/>
      <c r="E593" s="112"/>
      <c r="F593" s="130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>
      <c r="A594" s="112"/>
      <c r="B594" s="112"/>
      <c r="C594" s="130"/>
      <c r="D594" s="112"/>
      <c r="E594" s="112"/>
      <c r="F594" s="130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>
      <c r="A595" s="112"/>
      <c r="B595" s="112"/>
      <c r="C595" s="130"/>
      <c r="D595" s="112"/>
      <c r="E595" s="112"/>
      <c r="F595" s="130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>
      <c r="A596" s="112"/>
      <c r="B596" s="112"/>
      <c r="C596" s="130"/>
      <c r="D596" s="112"/>
      <c r="E596" s="112"/>
      <c r="F596" s="130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>
      <c r="A597" s="112"/>
      <c r="B597" s="112"/>
      <c r="C597" s="130"/>
      <c r="D597" s="112"/>
      <c r="E597" s="112"/>
      <c r="F597" s="130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>
      <c r="A598" s="112"/>
      <c r="B598" s="112"/>
      <c r="C598" s="130"/>
      <c r="D598" s="112"/>
      <c r="E598" s="112"/>
      <c r="F598" s="130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>
      <c r="A599" s="112"/>
      <c r="B599" s="112"/>
      <c r="C599" s="130"/>
      <c r="D599" s="112"/>
      <c r="E599" s="112"/>
      <c r="F599" s="130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>
      <c r="A600" s="112"/>
      <c r="B600" s="112"/>
      <c r="C600" s="130"/>
      <c r="D600" s="112"/>
      <c r="E600" s="112"/>
      <c r="F600" s="130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>
      <c r="A601" s="112"/>
      <c r="B601" s="112"/>
      <c r="C601" s="130"/>
      <c r="D601" s="112"/>
      <c r="E601" s="112"/>
      <c r="F601" s="130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>
      <c r="A602" s="112"/>
      <c r="B602" s="112"/>
      <c r="C602" s="130"/>
      <c r="D602" s="112"/>
      <c r="E602" s="112"/>
      <c r="F602" s="130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>
      <c r="A603" s="112"/>
      <c r="B603" s="112"/>
      <c r="C603" s="130"/>
      <c r="D603" s="112"/>
      <c r="E603" s="112"/>
      <c r="F603" s="130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>
      <c r="A604" s="112"/>
      <c r="B604" s="112"/>
      <c r="C604" s="130"/>
      <c r="D604" s="112"/>
      <c r="E604" s="112"/>
      <c r="F604" s="130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>
      <c r="A605" s="112"/>
      <c r="B605" s="112"/>
      <c r="C605" s="130"/>
      <c r="D605" s="112"/>
      <c r="E605" s="112"/>
      <c r="F605" s="130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>
      <c r="A606" s="112"/>
      <c r="B606" s="112"/>
      <c r="C606" s="130"/>
      <c r="D606" s="112"/>
      <c r="E606" s="112"/>
      <c r="F606" s="130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>
      <c r="A607" s="112"/>
      <c r="B607" s="112"/>
      <c r="C607" s="130"/>
      <c r="D607" s="112"/>
      <c r="E607" s="112"/>
      <c r="F607" s="130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>
      <c r="A608" s="112"/>
      <c r="B608" s="112"/>
      <c r="C608" s="130"/>
      <c r="D608" s="112"/>
      <c r="E608" s="112"/>
      <c r="F608" s="130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>
      <c r="A609" s="112"/>
      <c r="B609" s="112"/>
      <c r="C609" s="130"/>
      <c r="D609" s="112"/>
      <c r="E609" s="112"/>
      <c r="F609" s="130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>
      <c r="A610" s="112"/>
      <c r="B610" s="112"/>
      <c r="C610" s="130"/>
      <c r="D610" s="112"/>
      <c r="E610" s="112"/>
      <c r="F610" s="130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>
      <c r="A611" s="112"/>
      <c r="B611" s="112"/>
      <c r="C611" s="130"/>
      <c r="D611" s="112"/>
      <c r="E611" s="112"/>
      <c r="F611" s="130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>
      <c r="A612" s="112"/>
      <c r="B612" s="112"/>
      <c r="C612" s="130"/>
      <c r="D612" s="112"/>
      <c r="E612" s="112"/>
      <c r="F612" s="130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>
      <c r="A613" s="112"/>
      <c r="B613" s="112"/>
      <c r="C613" s="130"/>
      <c r="D613" s="112"/>
      <c r="E613" s="112"/>
      <c r="F613" s="130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>
      <c r="A614" s="112"/>
      <c r="B614" s="112"/>
      <c r="C614" s="130"/>
      <c r="D614" s="112"/>
      <c r="E614" s="112"/>
      <c r="F614" s="130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>
      <c r="A615" s="112"/>
      <c r="B615" s="112"/>
      <c r="C615" s="130"/>
      <c r="D615" s="112"/>
      <c r="E615" s="112"/>
      <c r="F615" s="130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>
      <c r="A616" s="112"/>
      <c r="B616" s="112"/>
      <c r="C616" s="130"/>
      <c r="D616" s="112"/>
      <c r="E616" s="112"/>
      <c r="F616" s="130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>
      <c r="A617" s="112"/>
      <c r="B617" s="112"/>
      <c r="C617" s="130"/>
      <c r="D617" s="112"/>
      <c r="E617" s="112"/>
      <c r="F617" s="130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>
      <c r="A618" s="112"/>
      <c r="B618" s="112"/>
      <c r="C618" s="130"/>
      <c r="D618" s="112"/>
      <c r="E618" s="112"/>
      <c r="F618" s="130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>
      <c r="A619" s="112"/>
      <c r="B619" s="112"/>
      <c r="C619" s="130"/>
      <c r="D619" s="112"/>
      <c r="E619" s="112"/>
      <c r="F619" s="130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>
      <c r="A620" s="112"/>
      <c r="B620" s="112"/>
      <c r="C620" s="130"/>
      <c r="D620" s="112"/>
      <c r="E620" s="112"/>
      <c r="F620" s="130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>
      <c r="A621" s="112"/>
      <c r="B621" s="112"/>
      <c r="C621" s="130"/>
      <c r="D621" s="112"/>
      <c r="E621" s="112"/>
      <c r="F621" s="130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>
      <c r="A622" s="112"/>
      <c r="B622" s="112"/>
      <c r="C622" s="130"/>
      <c r="D622" s="112"/>
      <c r="E622" s="112"/>
      <c r="F622" s="130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>
      <c r="A623" s="112"/>
      <c r="B623" s="112"/>
      <c r="C623" s="130"/>
      <c r="D623" s="112"/>
      <c r="E623" s="112"/>
      <c r="F623" s="130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>
      <c r="A624" s="112"/>
      <c r="B624" s="112"/>
      <c r="C624" s="130"/>
      <c r="D624" s="112"/>
      <c r="E624" s="112"/>
      <c r="F624" s="130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>
      <c r="A625" s="112"/>
      <c r="B625" s="112"/>
      <c r="C625" s="130"/>
      <c r="D625" s="112"/>
      <c r="E625" s="112"/>
      <c r="F625" s="130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>
      <c r="A626" s="112"/>
      <c r="B626" s="112"/>
      <c r="C626" s="130"/>
      <c r="D626" s="112"/>
      <c r="E626" s="112"/>
      <c r="F626" s="130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>
      <c r="A627" s="112"/>
      <c r="B627" s="112"/>
      <c r="C627" s="130"/>
      <c r="D627" s="112"/>
      <c r="E627" s="112"/>
      <c r="F627" s="130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>
      <c r="A628" s="112"/>
      <c r="B628" s="112"/>
      <c r="C628" s="130"/>
      <c r="D628" s="112"/>
      <c r="E628" s="112"/>
      <c r="F628" s="130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>
      <c r="A629" s="112"/>
      <c r="B629" s="112"/>
      <c r="C629" s="130"/>
      <c r="D629" s="112"/>
      <c r="E629" s="112"/>
      <c r="F629" s="130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>
      <c r="A630" s="112"/>
      <c r="B630" s="112"/>
      <c r="C630" s="130"/>
      <c r="D630" s="112"/>
      <c r="E630" s="112"/>
      <c r="F630" s="130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>
      <c r="A631" s="112"/>
      <c r="B631" s="112"/>
      <c r="C631" s="130"/>
      <c r="D631" s="112"/>
      <c r="E631" s="112"/>
      <c r="F631" s="130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>
      <c r="A632" s="112"/>
      <c r="B632" s="112"/>
      <c r="C632" s="130"/>
      <c r="D632" s="112"/>
      <c r="E632" s="112"/>
      <c r="F632" s="130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>
      <c r="A633" s="112"/>
      <c r="B633" s="112"/>
      <c r="C633" s="130"/>
      <c r="D633" s="112"/>
      <c r="E633" s="112"/>
      <c r="F633" s="130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>
      <c r="A634" s="112"/>
      <c r="B634" s="112"/>
      <c r="C634" s="130"/>
      <c r="D634" s="112"/>
      <c r="E634" s="112"/>
      <c r="F634" s="130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>
      <c r="A635" s="112"/>
      <c r="B635" s="112"/>
      <c r="C635" s="130"/>
      <c r="D635" s="112"/>
      <c r="E635" s="112"/>
      <c r="F635" s="130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>
      <c r="A636" s="112"/>
      <c r="B636" s="112"/>
      <c r="C636" s="130"/>
      <c r="D636" s="112"/>
      <c r="E636" s="112"/>
      <c r="F636" s="130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>
      <c r="A637" s="112"/>
      <c r="B637" s="112"/>
      <c r="C637" s="130"/>
      <c r="D637" s="112"/>
      <c r="E637" s="112"/>
      <c r="F637" s="130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>
      <c r="A638" s="112"/>
      <c r="B638" s="112"/>
      <c r="C638" s="130"/>
      <c r="D638" s="112"/>
      <c r="E638" s="112"/>
      <c r="F638" s="130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>
      <c r="A639" s="112"/>
      <c r="B639" s="112"/>
      <c r="C639" s="130"/>
      <c r="D639" s="112"/>
      <c r="E639" s="112"/>
      <c r="F639" s="130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>
      <c r="A640" s="112"/>
      <c r="B640" s="112"/>
      <c r="C640" s="130"/>
      <c r="D640" s="112"/>
      <c r="E640" s="112"/>
      <c r="F640" s="130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>
      <c r="A641" s="112"/>
      <c r="B641" s="112"/>
      <c r="C641" s="130"/>
      <c r="D641" s="112"/>
      <c r="E641" s="112"/>
      <c r="F641" s="130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>
      <c r="A642" s="112"/>
      <c r="B642" s="112"/>
      <c r="C642" s="130"/>
      <c r="D642" s="112"/>
      <c r="E642" s="112"/>
      <c r="F642" s="130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>
      <c r="A643" s="112"/>
      <c r="B643" s="112"/>
      <c r="C643" s="130"/>
      <c r="D643" s="112"/>
      <c r="E643" s="112"/>
      <c r="F643" s="130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>
      <c r="A644" s="112"/>
      <c r="B644" s="112"/>
      <c r="C644" s="130"/>
      <c r="D644" s="112"/>
      <c r="E644" s="112"/>
      <c r="F644" s="130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>
      <c r="A645" s="112"/>
      <c r="B645" s="112"/>
      <c r="C645" s="130"/>
      <c r="D645" s="112"/>
      <c r="E645" s="112"/>
      <c r="F645" s="130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>
      <c r="A646" s="112"/>
      <c r="B646" s="112"/>
      <c r="C646" s="130"/>
      <c r="D646" s="112"/>
      <c r="E646" s="112"/>
      <c r="F646" s="130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>
      <c r="A647" s="112"/>
      <c r="B647" s="112"/>
      <c r="C647" s="130"/>
      <c r="D647" s="112"/>
      <c r="E647" s="112"/>
      <c r="F647" s="130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>
      <c r="A648" s="112"/>
      <c r="B648" s="112"/>
      <c r="C648" s="130"/>
      <c r="D648" s="112"/>
      <c r="E648" s="112"/>
      <c r="F648" s="130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>
      <c r="A649" s="112"/>
      <c r="B649" s="112"/>
      <c r="C649" s="130"/>
      <c r="D649" s="112"/>
      <c r="E649" s="112"/>
      <c r="F649" s="130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>
      <c r="A650" s="112"/>
      <c r="B650" s="112"/>
      <c r="C650" s="130"/>
      <c r="D650" s="112"/>
      <c r="E650" s="112"/>
      <c r="F650" s="130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>
      <c r="A651" s="112"/>
      <c r="B651" s="112"/>
      <c r="C651" s="130"/>
      <c r="D651" s="112"/>
      <c r="E651" s="112"/>
      <c r="F651" s="130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>
      <c r="A652" s="112"/>
      <c r="B652" s="112"/>
      <c r="C652" s="130"/>
      <c r="D652" s="112"/>
      <c r="E652" s="112"/>
      <c r="F652" s="130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>
      <c r="A653" s="112"/>
      <c r="B653" s="112"/>
      <c r="C653" s="130"/>
      <c r="D653" s="112"/>
      <c r="E653" s="112"/>
      <c r="F653" s="130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>
      <c r="A654" s="112"/>
      <c r="B654" s="112"/>
      <c r="C654" s="130"/>
      <c r="D654" s="112"/>
      <c r="E654" s="112"/>
      <c r="F654" s="130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>
      <c r="A655" s="112"/>
      <c r="B655" s="112"/>
      <c r="C655" s="130"/>
      <c r="D655" s="112"/>
      <c r="E655" s="112"/>
      <c r="F655" s="130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>
      <c r="A656" s="112"/>
      <c r="B656" s="112"/>
      <c r="C656" s="130"/>
      <c r="D656" s="112"/>
      <c r="E656" s="112"/>
      <c r="F656" s="130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>
      <c r="A657" s="112"/>
      <c r="B657" s="112"/>
      <c r="C657" s="130"/>
      <c r="D657" s="112"/>
      <c r="E657" s="112"/>
      <c r="F657" s="130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>
      <c r="A658" s="112"/>
      <c r="B658" s="112"/>
      <c r="C658" s="130"/>
      <c r="D658" s="112"/>
      <c r="E658" s="112"/>
      <c r="F658" s="130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>
      <c r="A659" s="112"/>
      <c r="B659" s="112"/>
      <c r="C659" s="130"/>
      <c r="D659" s="112"/>
      <c r="E659" s="112"/>
      <c r="F659" s="130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>
      <c r="A660" s="112"/>
      <c r="B660" s="112"/>
      <c r="C660" s="130"/>
      <c r="D660" s="112"/>
      <c r="E660" s="112"/>
      <c r="F660" s="130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>
      <c r="A661" s="112"/>
      <c r="B661" s="112"/>
      <c r="C661" s="130"/>
      <c r="D661" s="112"/>
      <c r="E661" s="112"/>
      <c r="F661" s="130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>
      <c r="A662" s="112"/>
      <c r="B662" s="112"/>
      <c r="C662" s="130"/>
      <c r="D662" s="112"/>
      <c r="E662" s="112"/>
      <c r="F662" s="130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>
      <c r="A663" s="112"/>
      <c r="B663" s="112"/>
      <c r="C663" s="130"/>
      <c r="D663" s="112"/>
      <c r="E663" s="112"/>
      <c r="F663" s="130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>
      <c r="A664" s="112"/>
      <c r="B664" s="112"/>
      <c r="C664" s="130"/>
      <c r="D664" s="112"/>
      <c r="E664" s="112"/>
      <c r="F664" s="130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>
      <c r="A665" s="112"/>
      <c r="B665" s="112"/>
      <c r="C665" s="130"/>
      <c r="D665" s="112"/>
      <c r="E665" s="112"/>
      <c r="F665" s="130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>
      <c r="A666" s="112"/>
      <c r="B666" s="112"/>
      <c r="C666" s="130"/>
      <c r="D666" s="112"/>
      <c r="E666" s="112"/>
      <c r="F666" s="130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>
      <c r="A667" s="112"/>
      <c r="B667" s="112"/>
      <c r="C667" s="130"/>
      <c r="D667" s="112"/>
      <c r="E667" s="112"/>
      <c r="F667" s="130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>
      <c r="A668" s="112"/>
      <c r="B668" s="112"/>
      <c r="C668" s="130"/>
      <c r="D668" s="112"/>
      <c r="E668" s="112"/>
      <c r="F668" s="130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>
      <c r="A669" s="112"/>
      <c r="B669" s="112"/>
      <c r="C669" s="130"/>
      <c r="D669" s="112"/>
      <c r="E669" s="112"/>
      <c r="F669" s="130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>
      <c r="A670" s="112"/>
      <c r="B670" s="112"/>
      <c r="C670" s="130"/>
      <c r="D670" s="112"/>
      <c r="E670" s="112"/>
      <c r="F670" s="130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>
      <c r="A671" s="112"/>
      <c r="B671" s="112"/>
      <c r="C671" s="130"/>
      <c r="D671" s="112"/>
      <c r="E671" s="112"/>
      <c r="F671" s="130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>
      <c r="A672" s="112"/>
      <c r="B672" s="112"/>
      <c r="C672" s="130"/>
      <c r="D672" s="112"/>
      <c r="E672" s="112"/>
      <c r="F672" s="130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>
      <c r="A673" s="112"/>
      <c r="B673" s="112"/>
      <c r="C673" s="130"/>
      <c r="D673" s="112"/>
      <c r="E673" s="112"/>
      <c r="F673" s="130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>
      <c r="A674" s="112"/>
      <c r="B674" s="112"/>
      <c r="C674" s="130"/>
      <c r="D674" s="112"/>
      <c r="E674" s="112"/>
      <c r="F674" s="130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>
      <c r="A675" s="112"/>
      <c r="B675" s="112"/>
      <c r="C675" s="130"/>
      <c r="D675" s="112"/>
      <c r="E675" s="112"/>
      <c r="F675" s="130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>
      <c r="A676" s="112"/>
      <c r="B676" s="112"/>
      <c r="C676" s="130"/>
      <c r="D676" s="112"/>
      <c r="E676" s="112"/>
      <c r="F676" s="130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>
      <c r="A677" s="112"/>
      <c r="B677" s="112"/>
      <c r="C677" s="130"/>
      <c r="D677" s="112"/>
      <c r="E677" s="112"/>
      <c r="F677" s="130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>
      <c r="A678" s="112"/>
      <c r="B678" s="112"/>
      <c r="C678" s="130"/>
      <c r="D678" s="112"/>
      <c r="E678" s="112"/>
      <c r="F678" s="130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>
      <c r="A679" s="112"/>
      <c r="B679" s="112"/>
      <c r="C679" s="130"/>
      <c r="D679" s="112"/>
      <c r="E679" s="112"/>
      <c r="F679" s="130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>
      <c r="A680" s="112"/>
      <c r="B680" s="112"/>
      <c r="C680" s="130"/>
      <c r="D680" s="112"/>
      <c r="E680" s="112"/>
      <c r="F680" s="130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>
      <c r="A681" s="112"/>
      <c r="B681" s="112"/>
      <c r="C681" s="130"/>
      <c r="D681" s="112"/>
      <c r="E681" s="112"/>
      <c r="F681" s="130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>
      <c r="A682" s="112"/>
      <c r="B682" s="112"/>
      <c r="C682" s="130"/>
      <c r="D682" s="112"/>
      <c r="E682" s="112"/>
      <c r="F682" s="130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>
      <c r="A683" s="112"/>
      <c r="B683" s="112"/>
      <c r="C683" s="130"/>
      <c r="D683" s="112"/>
      <c r="E683" s="112"/>
      <c r="F683" s="130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>
      <c r="A684" s="112"/>
      <c r="B684" s="112"/>
      <c r="C684" s="130"/>
      <c r="D684" s="112"/>
      <c r="E684" s="112"/>
      <c r="F684" s="130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>
      <c r="A685" s="112"/>
      <c r="B685" s="112"/>
      <c r="C685" s="130"/>
      <c r="D685" s="112"/>
      <c r="E685" s="112"/>
      <c r="F685" s="130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>
      <c r="A686" s="112"/>
      <c r="B686" s="112"/>
      <c r="C686" s="130"/>
      <c r="D686" s="112"/>
      <c r="E686" s="112"/>
      <c r="F686" s="130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>
      <c r="A687" s="112"/>
      <c r="B687" s="112"/>
      <c r="C687" s="130"/>
      <c r="D687" s="112"/>
      <c r="E687" s="112"/>
      <c r="F687" s="130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>
      <c r="A688" s="112"/>
      <c r="B688" s="112"/>
      <c r="C688" s="130"/>
      <c r="D688" s="112"/>
      <c r="E688" s="112"/>
      <c r="F688" s="130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>
      <c r="A689" s="112"/>
      <c r="B689" s="112"/>
      <c r="C689" s="130"/>
      <c r="D689" s="112"/>
      <c r="E689" s="112"/>
      <c r="F689" s="130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>
      <c r="A690" s="112"/>
      <c r="B690" s="112"/>
      <c r="C690" s="130"/>
      <c r="D690" s="112"/>
      <c r="E690" s="112"/>
      <c r="F690" s="130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>
      <c r="A691" s="112"/>
      <c r="B691" s="112"/>
      <c r="C691" s="130"/>
      <c r="D691" s="112"/>
      <c r="E691" s="112"/>
      <c r="F691" s="130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>
      <c r="A692" s="112"/>
      <c r="B692" s="112"/>
      <c r="C692" s="130"/>
      <c r="D692" s="112"/>
      <c r="E692" s="112"/>
      <c r="F692" s="130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>
      <c r="A693" s="112"/>
      <c r="B693" s="112"/>
      <c r="C693" s="130"/>
      <c r="D693" s="112"/>
      <c r="E693" s="112"/>
      <c r="F693" s="130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>
      <c r="A694" s="112"/>
      <c r="B694" s="112"/>
      <c r="C694" s="130"/>
      <c r="D694" s="112"/>
      <c r="E694" s="112"/>
      <c r="F694" s="130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>
      <c r="A695" s="112"/>
      <c r="B695" s="112"/>
      <c r="C695" s="130"/>
      <c r="D695" s="112"/>
      <c r="E695" s="112"/>
      <c r="F695" s="130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>
      <c r="A696" s="112"/>
      <c r="B696" s="112"/>
      <c r="C696" s="130"/>
      <c r="D696" s="112"/>
      <c r="E696" s="112"/>
      <c r="F696" s="130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>
      <c r="A697" s="112"/>
      <c r="B697" s="112"/>
      <c r="C697" s="130"/>
      <c r="D697" s="112"/>
      <c r="E697" s="112"/>
      <c r="F697" s="130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>
      <c r="A698" s="112"/>
      <c r="B698" s="112"/>
      <c r="C698" s="130"/>
      <c r="D698" s="112"/>
      <c r="E698" s="112"/>
      <c r="F698" s="130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>
      <c r="A699" s="112"/>
      <c r="B699" s="112"/>
      <c r="C699" s="130"/>
      <c r="D699" s="112"/>
      <c r="E699" s="112"/>
      <c r="F699" s="130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>
      <c r="A700" s="112"/>
      <c r="B700" s="112"/>
      <c r="C700" s="130"/>
      <c r="D700" s="112"/>
      <c r="E700" s="112"/>
      <c r="F700" s="130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>
      <c r="A701" s="112"/>
      <c r="B701" s="112"/>
      <c r="C701" s="130"/>
      <c r="D701" s="112"/>
      <c r="E701" s="112"/>
      <c r="F701" s="130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>
      <c r="A702" s="112"/>
      <c r="B702" s="112"/>
      <c r="C702" s="130"/>
      <c r="D702" s="112"/>
      <c r="E702" s="112"/>
      <c r="F702" s="130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>
      <c r="A703" s="112"/>
      <c r="B703" s="112"/>
      <c r="C703" s="130"/>
      <c r="D703" s="112"/>
      <c r="E703" s="112"/>
      <c r="F703" s="130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>
      <c r="A704" s="112"/>
      <c r="B704" s="112"/>
      <c r="C704" s="130"/>
      <c r="D704" s="112"/>
      <c r="E704" s="112"/>
      <c r="F704" s="130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>
      <c r="A705" s="112"/>
      <c r="B705" s="112"/>
      <c r="C705" s="130"/>
      <c r="D705" s="112"/>
      <c r="E705" s="112"/>
      <c r="F705" s="130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>
      <c r="A706" s="112"/>
      <c r="B706" s="112"/>
      <c r="C706" s="130"/>
      <c r="D706" s="112"/>
      <c r="E706" s="112"/>
      <c r="F706" s="130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>
      <c r="A707" s="112"/>
      <c r="B707" s="112"/>
      <c r="C707" s="130"/>
      <c r="D707" s="112"/>
      <c r="E707" s="112"/>
      <c r="F707" s="130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>
      <c r="A708" s="112"/>
      <c r="B708" s="112"/>
      <c r="C708" s="130"/>
      <c r="D708" s="112"/>
      <c r="E708" s="112"/>
      <c r="F708" s="130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>
      <c r="A709" s="112"/>
      <c r="B709" s="112"/>
      <c r="C709" s="130"/>
      <c r="D709" s="112"/>
      <c r="E709" s="112"/>
      <c r="F709" s="130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>
      <c r="A710" s="112"/>
      <c r="B710" s="112"/>
      <c r="C710" s="130"/>
      <c r="D710" s="112"/>
      <c r="E710" s="112"/>
      <c r="F710" s="130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>
      <c r="A711" s="112"/>
      <c r="B711" s="112"/>
      <c r="C711" s="130"/>
      <c r="D711" s="112"/>
      <c r="E711" s="112"/>
      <c r="F711" s="130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>
      <c r="A712" s="112"/>
      <c r="B712" s="112"/>
      <c r="C712" s="130"/>
      <c r="D712" s="112"/>
      <c r="E712" s="112"/>
      <c r="F712" s="130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>
      <c r="A713" s="112"/>
      <c r="B713" s="112"/>
      <c r="C713" s="130"/>
      <c r="D713" s="112"/>
      <c r="E713" s="112"/>
      <c r="F713" s="130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>
      <c r="A714" s="112"/>
      <c r="B714" s="112"/>
      <c r="C714" s="130"/>
      <c r="D714" s="112"/>
      <c r="E714" s="112"/>
      <c r="F714" s="130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>
      <c r="A715" s="112"/>
      <c r="B715" s="112"/>
      <c r="C715" s="130"/>
      <c r="D715" s="112"/>
      <c r="E715" s="112"/>
      <c r="F715" s="130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>
      <c r="A716" s="112"/>
      <c r="B716" s="112"/>
      <c r="C716" s="130"/>
      <c r="D716" s="112"/>
      <c r="E716" s="112"/>
      <c r="F716" s="130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>
      <c r="A717" s="112"/>
      <c r="B717" s="112"/>
      <c r="C717" s="130"/>
      <c r="D717" s="112"/>
      <c r="E717" s="112"/>
      <c r="F717" s="130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>
      <c r="A718" s="112"/>
      <c r="B718" s="112"/>
      <c r="C718" s="130"/>
      <c r="D718" s="112"/>
      <c r="E718" s="112"/>
      <c r="F718" s="130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>
      <c r="A719" s="112"/>
      <c r="B719" s="112"/>
      <c r="C719" s="130"/>
      <c r="D719" s="112"/>
      <c r="E719" s="112"/>
      <c r="F719" s="130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>
      <c r="A720" s="112"/>
      <c r="B720" s="112"/>
      <c r="C720" s="130"/>
      <c r="D720" s="112"/>
      <c r="E720" s="112"/>
      <c r="F720" s="130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>
      <c r="A721" s="112"/>
      <c r="B721" s="112"/>
      <c r="C721" s="130"/>
      <c r="D721" s="112"/>
      <c r="E721" s="112"/>
      <c r="F721" s="130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>
      <c r="A722" s="112"/>
      <c r="B722" s="112"/>
      <c r="C722" s="130"/>
      <c r="D722" s="112"/>
      <c r="E722" s="112"/>
      <c r="F722" s="130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>
      <c r="A723" s="112"/>
      <c r="B723" s="112"/>
      <c r="C723" s="130"/>
      <c r="D723" s="112"/>
      <c r="E723" s="112"/>
      <c r="F723" s="130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>
      <c r="A724" s="112"/>
      <c r="B724" s="112"/>
      <c r="C724" s="130"/>
      <c r="D724" s="112"/>
      <c r="E724" s="112"/>
      <c r="F724" s="130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>
      <c r="A725" s="112"/>
      <c r="B725" s="112"/>
      <c r="C725" s="130"/>
      <c r="D725" s="112"/>
      <c r="E725" s="112"/>
      <c r="F725" s="130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>
      <c r="A726" s="112"/>
      <c r="B726" s="112"/>
      <c r="C726" s="130"/>
      <c r="D726" s="112"/>
      <c r="E726" s="112"/>
      <c r="F726" s="130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>
      <c r="A727" s="112"/>
      <c r="B727" s="112"/>
      <c r="C727" s="130"/>
      <c r="D727" s="112"/>
      <c r="E727" s="112"/>
      <c r="F727" s="130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>
      <c r="A728" s="112"/>
      <c r="B728" s="112"/>
      <c r="C728" s="130"/>
      <c r="D728" s="112"/>
      <c r="E728" s="112"/>
      <c r="F728" s="130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>
      <c r="A729" s="112"/>
      <c r="B729" s="112"/>
      <c r="C729" s="130"/>
      <c r="D729" s="112"/>
      <c r="E729" s="112"/>
      <c r="F729" s="130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>
      <c r="A730" s="112"/>
      <c r="B730" s="112"/>
      <c r="C730" s="130"/>
      <c r="D730" s="112"/>
      <c r="E730" s="112"/>
      <c r="F730" s="130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>
      <c r="A731" s="112"/>
      <c r="B731" s="112"/>
      <c r="C731" s="130"/>
      <c r="D731" s="112"/>
      <c r="E731" s="112"/>
      <c r="F731" s="130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>
      <c r="A732" s="112"/>
      <c r="B732" s="112"/>
      <c r="C732" s="130"/>
      <c r="D732" s="112"/>
      <c r="E732" s="112"/>
      <c r="F732" s="130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>
      <c r="A733" s="112"/>
      <c r="B733" s="112"/>
      <c r="C733" s="130"/>
      <c r="D733" s="112"/>
      <c r="E733" s="112"/>
      <c r="F733" s="130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>
      <c r="A734" s="112"/>
      <c r="B734" s="112"/>
      <c r="C734" s="130"/>
      <c r="D734" s="112"/>
      <c r="E734" s="112"/>
      <c r="F734" s="130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>
      <c r="A735" s="112"/>
      <c r="B735" s="112"/>
      <c r="C735" s="130"/>
      <c r="D735" s="112"/>
      <c r="E735" s="112"/>
      <c r="F735" s="130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>
      <c r="A736" s="112"/>
      <c r="B736" s="112"/>
      <c r="C736" s="130"/>
      <c r="D736" s="112"/>
      <c r="E736" s="112"/>
      <c r="F736" s="130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>
      <c r="A737" s="112"/>
      <c r="B737" s="112"/>
      <c r="C737" s="130"/>
      <c r="D737" s="112"/>
      <c r="E737" s="112"/>
      <c r="F737" s="130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>
      <c r="A738" s="112"/>
      <c r="B738" s="112"/>
      <c r="C738" s="130"/>
      <c r="D738" s="112"/>
      <c r="E738" s="112"/>
      <c r="F738" s="130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>
      <c r="A739" s="112"/>
      <c r="B739" s="112"/>
      <c r="C739" s="130"/>
      <c r="D739" s="112"/>
      <c r="E739" s="112"/>
      <c r="F739" s="130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>
      <c r="A740" s="112"/>
      <c r="B740" s="112"/>
      <c r="C740" s="130"/>
      <c r="D740" s="112"/>
      <c r="E740" s="112"/>
      <c r="F740" s="130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>
      <c r="A741" s="112"/>
      <c r="B741" s="112"/>
      <c r="C741" s="130"/>
      <c r="D741" s="112"/>
      <c r="E741" s="112"/>
      <c r="F741" s="130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>
      <c r="A742" s="112"/>
      <c r="B742" s="112"/>
      <c r="C742" s="130"/>
      <c r="D742" s="112"/>
      <c r="E742" s="112"/>
      <c r="F742" s="130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>
      <c r="A743" s="112"/>
      <c r="B743" s="112"/>
      <c r="C743" s="130"/>
      <c r="D743" s="112"/>
      <c r="E743" s="112"/>
      <c r="F743" s="130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>
      <c r="A744" s="112"/>
      <c r="B744" s="112"/>
      <c r="C744" s="130"/>
      <c r="D744" s="112"/>
      <c r="E744" s="112"/>
      <c r="F744" s="130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>
      <c r="A745" s="112"/>
      <c r="B745" s="112"/>
      <c r="C745" s="130"/>
      <c r="D745" s="112"/>
      <c r="E745" s="112"/>
      <c r="F745" s="130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>
      <c r="A746" s="112"/>
      <c r="B746" s="112"/>
      <c r="C746" s="130"/>
      <c r="D746" s="112"/>
      <c r="E746" s="112"/>
      <c r="F746" s="130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>
      <c r="A747" s="112"/>
      <c r="B747" s="112"/>
      <c r="C747" s="130"/>
      <c r="D747" s="112"/>
      <c r="E747" s="112"/>
      <c r="F747" s="130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>
      <c r="A748" s="112"/>
      <c r="B748" s="112"/>
      <c r="C748" s="130"/>
      <c r="D748" s="112"/>
      <c r="E748" s="112"/>
      <c r="F748" s="130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>
      <c r="A749" s="112"/>
      <c r="B749" s="112"/>
      <c r="C749" s="130"/>
      <c r="D749" s="112"/>
      <c r="E749" s="112"/>
      <c r="F749" s="130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>
      <c r="A750" s="112"/>
      <c r="B750" s="112"/>
      <c r="C750" s="130"/>
      <c r="D750" s="112"/>
      <c r="E750" s="112"/>
      <c r="F750" s="130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>
      <c r="A751" s="112"/>
      <c r="B751" s="112"/>
      <c r="C751" s="130"/>
      <c r="D751" s="112"/>
      <c r="E751" s="112"/>
      <c r="F751" s="130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>
      <c r="A752" s="112"/>
      <c r="B752" s="112"/>
      <c r="C752" s="130"/>
      <c r="D752" s="112"/>
      <c r="E752" s="112"/>
      <c r="F752" s="130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>
      <c r="A753" s="112"/>
      <c r="B753" s="112"/>
      <c r="C753" s="130"/>
      <c r="D753" s="112"/>
      <c r="E753" s="112"/>
      <c r="F753" s="130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>
      <c r="A754" s="112"/>
      <c r="B754" s="112"/>
      <c r="C754" s="130"/>
      <c r="D754" s="112"/>
      <c r="E754" s="112"/>
      <c r="F754" s="130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>
      <c r="A755" s="112"/>
      <c r="B755" s="112"/>
      <c r="C755" s="130"/>
      <c r="D755" s="112"/>
      <c r="E755" s="112"/>
      <c r="F755" s="130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>
      <c r="A756" s="112"/>
      <c r="B756" s="112"/>
      <c r="C756" s="130"/>
      <c r="D756" s="112"/>
      <c r="E756" s="112"/>
      <c r="F756" s="130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>
      <c r="A757" s="112"/>
      <c r="B757" s="112"/>
      <c r="C757" s="130"/>
      <c r="D757" s="112"/>
      <c r="E757" s="112"/>
      <c r="F757" s="130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>
      <c r="A758" s="112"/>
      <c r="B758" s="112"/>
      <c r="C758" s="130"/>
      <c r="D758" s="112"/>
      <c r="E758" s="112"/>
      <c r="F758" s="130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>
      <c r="A759" s="112"/>
      <c r="B759" s="112"/>
      <c r="C759" s="130"/>
      <c r="D759" s="112"/>
      <c r="E759" s="112"/>
      <c r="F759" s="130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>
      <c r="A760" s="112"/>
      <c r="B760" s="112"/>
      <c r="C760" s="130"/>
      <c r="D760" s="112"/>
      <c r="E760" s="112"/>
      <c r="F760" s="130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>
      <c r="A761" s="112"/>
      <c r="B761" s="112"/>
      <c r="C761" s="130"/>
      <c r="D761" s="112"/>
      <c r="E761" s="112"/>
      <c r="F761" s="130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>
      <c r="A762" s="112"/>
      <c r="B762" s="112"/>
      <c r="C762" s="130"/>
      <c r="D762" s="112"/>
      <c r="E762" s="112"/>
      <c r="F762" s="130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>
      <c r="A763" s="112"/>
      <c r="B763" s="112"/>
      <c r="C763" s="130"/>
      <c r="D763" s="112"/>
      <c r="E763" s="112"/>
      <c r="F763" s="130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>
      <c r="A764" s="112"/>
      <c r="B764" s="112"/>
      <c r="C764" s="130"/>
      <c r="D764" s="112"/>
      <c r="E764" s="112"/>
      <c r="F764" s="130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>
      <c r="A765" s="112"/>
      <c r="B765" s="112"/>
      <c r="C765" s="130"/>
      <c r="D765" s="112"/>
      <c r="E765" s="112"/>
      <c r="F765" s="130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>
      <c r="A766" s="112"/>
      <c r="B766" s="112"/>
      <c r="C766" s="130"/>
      <c r="D766" s="112"/>
      <c r="E766" s="112"/>
      <c r="F766" s="130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>
      <c r="A767" s="112"/>
      <c r="B767" s="112"/>
      <c r="C767" s="130"/>
      <c r="D767" s="112"/>
      <c r="E767" s="112"/>
      <c r="F767" s="130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>
      <c r="A768" s="112"/>
      <c r="B768" s="112"/>
      <c r="C768" s="130"/>
      <c r="D768" s="112"/>
      <c r="E768" s="112"/>
      <c r="F768" s="130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>
      <c r="A769" s="112"/>
      <c r="B769" s="112"/>
      <c r="C769" s="130"/>
      <c r="D769" s="112"/>
      <c r="E769" s="112"/>
      <c r="F769" s="130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>
      <c r="A770" s="112"/>
      <c r="B770" s="112"/>
      <c r="C770" s="130"/>
      <c r="D770" s="112"/>
      <c r="E770" s="112"/>
      <c r="F770" s="130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>
      <c r="A771" s="112"/>
      <c r="B771" s="112"/>
      <c r="C771" s="130"/>
      <c r="D771" s="112"/>
      <c r="E771" s="112"/>
      <c r="F771" s="130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>
      <c r="A772" s="112"/>
      <c r="B772" s="112"/>
      <c r="C772" s="130"/>
      <c r="D772" s="112"/>
      <c r="E772" s="112"/>
      <c r="F772" s="130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>
      <c r="A773" s="112"/>
      <c r="B773" s="112"/>
      <c r="C773" s="130"/>
      <c r="D773" s="112"/>
      <c r="E773" s="112"/>
      <c r="F773" s="130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>
      <c r="A774" s="112"/>
      <c r="B774" s="112"/>
      <c r="C774" s="130"/>
      <c r="D774" s="112"/>
      <c r="E774" s="112"/>
      <c r="F774" s="130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>
      <c r="A775" s="112"/>
      <c r="B775" s="112"/>
      <c r="C775" s="130"/>
      <c r="D775" s="112"/>
      <c r="E775" s="112"/>
      <c r="F775" s="130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>
      <c r="A776" s="112"/>
      <c r="B776" s="112"/>
      <c r="C776" s="130"/>
      <c r="D776" s="112"/>
      <c r="E776" s="112"/>
      <c r="F776" s="130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>
      <c r="A777" s="112"/>
      <c r="B777" s="112"/>
      <c r="C777" s="130"/>
      <c r="D777" s="112"/>
      <c r="E777" s="112"/>
      <c r="F777" s="130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>
      <c r="A778" s="112"/>
      <c r="B778" s="112"/>
      <c r="C778" s="130"/>
      <c r="D778" s="112"/>
      <c r="E778" s="112"/>
      <c r="F778" s="130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>
      <c r="A779" s="112"/>
      <c r="B779" s="112"/>
      <c r="C779" s="130"/>
      <c r="D779" s="112"/>
      <c r="E779" s="112"/>
      <c r="F779" s="130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>
      <c r="A780" s="112"/>
      <c r="B780" s="112"/>
      <c r="C780" s="130"/>
      <c r="D780" s="112"/>
      <c r="E780" s="112"/>
      <c r="F780" s="130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>
      <c r="A781" s="112"/>
      <c r="B781" s="112"/>
      <c r="C781" s="130"/>
      <c r="D781" s="112"/>
      <c r="E781" s="112"/>
      <c r="F781" s="130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>
      <c r="A782" s="112"/>
      <c r="B782" s="112"/>
      <c r="C782" s="130"/>
      <c r="D782" s="112"/>
      <c r="E782" s="112"/>
      <c r="F782" s="130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>
      <c r="A783" s="112"/>
      <c r="B783" s="112"/>
      <c r="C783" s="130"/>
      <c r="D783" s="112"/>
      <c r="E783" s="112"/>
      <c r="F783" s="130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>
      <c r="A784" s="112"/>
      <c r="B784" s="112"/>
      <c r="C784" s="130"/>
      <c r="D784" s="112"/>
      <c r="E784" s="112"/>
      <c r="F784" s="130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>
      <c r="A785" s="112"/>
      <c r="B785" s="112"/>
      <c r="C785" s="130"/>
      <c r="D785" s="112"/>
      <c r="E785" s="112"/>
      <c r="F785" s="130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>
      <c r="A786" s="112"/>
      <c r="B786" s="112"/>
      <c r="C786" s="130"/>
      <c r="D786" s="112"/>
      <c r="E786" s="112"/>
      <c r="F786" s="130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>
      <c r="A787" s="112"/>
      <c r="B787" s="112"/>
      <c r="C787" s="130"/>
      <c r="D787" s="112"/>
      <c r="E787" s="112"/>
      <c r="F787" s="130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>
      <c r="A788" s="112"/>
      <c r="B788" s="112"/>
      <c r="C788" s="130"/>
      <c r="D788" s="112"/>
      <c r="E788" s="112"/>
      <c r="F788" s="130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>
      <c r="A789" s="112"/>
      <c r="B789" s="112"/>
      <c r="C789" s="130"/>
      <c r="D789" s="112"/>
      <c r="E789" s="112"/>
      <c r="F789" s="130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>
      <c r="A790" s="112"/>
      <c r="B790" s="112"/>
      <c r="C790" s="130"/>
      <c r="D790" s="112"/>
      <c r="E790" s="112"/>
      <c r="F790" s="130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>
      <c r="A791" s="112"/>
      <c r="B791" s="112"/>
      <c r="C791" s="130"/>
      <c r="D791" s="112"/>
      <c r="E791" s="112"/>
      <c r="F791" s="130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>
      <c r="A792" s="112"/>
      <c r="B792" s="112"/>
      <c r="C792" s="130"/>
      <c r="D792" s="112"/>
      <c r="E792" s="112"/>
      <c r="F792" s="130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>
      <c r="A793" s="112"/>
      <c r="B793" s="112"/>
      <c r="C793" s="130"/>
      <c r="D793" s="112"/>
      <c r="E793" s="112"/>
      <c r="F793" s="130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>
      <c r="A794" s="112"/>
      <c r="B794" s="112"/>
      <c r="C794" s="130"/>
      <c r="D794" s="112"/>
      <c r="E794" s="112"/>
      <c r="F794" s="130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>
      <c r="A795" s="112"/>
      <c r="B795" s="112"/>
      <c r="C795" s="130"/>
      <c r="D795" s="112"/>
      <c r="E795" s="112"/>
      <c r="F795" s="130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>
      <c r="A796" s="112"/>
      <c r="B796" s="112"/>
      <c r="C796" s="130"/>
      <c r="D796" s="112"/>
      <c r="E796" s="112"/>
      <c r="F796" s="130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>
      <c r="A797" s="112"/>
      <c r="B797" s="112"/>
      <c r="C797" s="130"/>
      <c r="D797" s="112"/>
      <c r="E797" s="112"/>
      <c r="F797" s="130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>
      <c r="A798" s="112"/>
      <c r="B798" s="112"/>
      <c r="C798" s="130"/>
      <c r="D798" s="112"/>
      <c r="E798" s="112"/>
      <c r="F798" s="130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>
      <c r="A799" s="112"/>
      <c r="B799" s="112"/>
      <c r="C799" s="130"/>
      <c r="D799" s="112"/>
      <c r="E799" s="112"/>
      <c r="F799" s="130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>
      <c r="A800" s="112"/>
      <c r="B800" s="112"/>
      <c r="C800" s="130"/>
      <c r="D800" s="112"/>
      <c r="E800" s="112"/>
      <c r="F800" s="130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>
      <c r="A801" s="112"/>
      <c r="B801" s="112"/>
      <c r="C801" s="130"/>
      <c r="D801" s="112"/>
      <c r="E801" s="112"/>
      <c r="F801" s="130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>
      <c r="A802" s="112"/>
      <c r="B802" s="112"/>
      <c r="C802" s="130"/>
      <c r="D802" s="112"/>
      <c r="E802" s="112"/>
      <c r="F802" s="130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>
      <c r="A803" s="112"/>
      <c r="B803" s="112"/>
      <c r="C803" s="130"/>
      <c r="D803" s="112"/>
      <c r="E803" s="112"/>
      <c r="F803" s="130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>
      <c r="A804" s="112"/>
      <c r="B804" s="112"/>
      <c r="C804" s="130"/>
      <c r="D804" s="112"/>
      <c r="E804" s="112"/>
      <c r="F804" s="130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>
      <c r="A805" s="112"/>
      <c r="B805" s="112"/>
      <c r="C805" s="130"/>
      <c r="D805" s="112"/>
      <c r="E805" s="112"/>
      <c r="F805" s="130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>
      <c r="A806" s="112"/>
      <c r="B806" s="112"/>
      <c r="C806" s="130"/>
      <c r="D806" s="112"/>
      <c r="E806" s="112"/>
      <c r="F806" s="130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>
      <c r="A807" s="112"/>
      <c r="B807" s="112"/>
      <c r="C807" s="130"/>
      <c r="D807" s="112"/>
      <c r="E807" s="112"/>
      <c r="F807" s="130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>
      <c r="A808" s="112"/>
      <c r="B808" s="112"/>
      <c r="C808" s="130"/>
      <c r="D808" s="112"/>
      <c r="E808" s="112"/>
      <c r="F808" s="130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>
      <c r="A809" s="112"/>
      <c r="B809" s="112"/>
      <c r="C809" s="130"/>
      <c r="D809" s="112"/>
      <c r="E809" s="112"/>
      <c r="F809" s="130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>
      <c r="A810" s="112"/>
      <c r="B810" s="112"/>
      <c r="C810" s="130"/>
      <c r="D810" s="112"/>
      <c r="E810" s="112"/>
      <c r="F810" s="130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>
      <c r="A811" s="112"/>
      <c r="B811" s="112"/>
      <c r="C811" s="130"/>
      <c r="D811" s="112"/>
      <c r="E811" s="112"/>
      <c r="F811" s="130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>
      <c r="A812" s="112"/>
      <c r="B812" s="112"/>
      <c r="C812" s="130"/>
      <c r="D812" s="112"/>
      <c r="E812" s="112"/>
      <c r="F812" s="130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>
      <c r="A813" s="112"/>
      <c r="B813" s="112"/>
      <c r="C813" s="130"/>
      <c r="D813" s="112"/>
      <c r="E813" s="112"/>
      <c r="F813" s="130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>
      <c r="A814" s="112"/>
      <c r="B814" s="112"/>
      <c r="C814" s="130"/>
      <c r="D814" s="112"/>
      <c r="E814" s="112"/>
      <c r="F814" s="130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>
      <c r="A815" s="112"/>
      <c r="B815" s="112"/>
      <c r="C815" s="130"/>
      <c r="D815" s="112"/>
      <c r="E815" s="112"/>
      <c r="F815" s="130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>
      <c r="A816" s="112"/>
      <c r="B816" s="112"/>
      <c r="C816" s="130"/>
      <c r="D816" s="112"/>
      <c r="E816" s="112"/>
      <c r="F816" s="130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>
      <c r="A817" s="112"/>
      <c r="B817" s="112"/>
      <c r="C817" s="130"/>
      <c r="D817" s="112"/>
      <c r="E817" s="112"/>
      <c r="F817" s="130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>
      <c r="A818" s="112"/>
      <c r="B818" s="112"/>
      <c r="C818" s="130"/>
      <c r="D818" s="112"/>
      <c r="E818" s="112"/>
      <c r="F818" s="130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>
      <c r="A819" s="112"/>
      <c r="B819" s="112"/>
      <c r="C819" s="130"/>
      <c r="D819" s="112"/>
      <c r="E819" s="112"/>
      <c r="F819" s="130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>
      <c r="A820" s="112"/>
      <c r="B820" s="112"/>
      <c r="C820" s="130"/>
      <c r="D820" s="112"/>
      <c r="E820" s="112"/>
      <c r="F820" s="130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>
      <c r="A821" s="112"/>
      <c r="B821" s="112"/>
      <c r="C821" s="130"/>
      <c r="D821" s="112"/>
      <c r="E821" s="112"/>
      <c r="F821" s="130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>
      <c r="A822" s="112"/>
      <c r="B822" s="112"/>
      <c r="C822" s="130"/>
      <c r="D822" s="112"/>
      <c r="E822" s="112"/>
      <c r="F822" s="130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>
      <c r="A823" s="112"/>
      <c r="B823" s="112"/>
      <c r="C823" s="130"/>
      <c r="D823" s="112"/>
      <c r="E823" s="112"/>
      <c r="F823" s="130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>
      <c r="A824" s="112"/>
      <c r="B824" s="112"/>
      <c r="C824" s="130"/>
      <c r="D824" s="112"/>
      <c r="E824" s="112"/>
      <c r="F824" s="130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>
      <c r="A825" s="112"/>
      <c r="B825" s="112"/>
      <c r="C825" s="130"/>
      <c r="D825" s="112"/>
      <c r="E825" s="112"/>
      <c r="F825" s="130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>
      <c r="A826" s="112"/>
      <c r="B826" s="112"/>
      <c r="C826" s="130"/>
      <c r="D826" s="112"/>
      <c r="E826" s="112"/>
      <c r="F826" s="130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>
      <c r="A827" s="112"/>
      <c r="B827" s="112"/>
      <c r="C827" s="130"/>
      <c r="D827" s="112"/>
      <c r="E827" s="112"/>
      <c r="F827" s="130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>
      <c r="A828" s="112"/>
      <c r="B828" s="112"/>
      <c r="C828" s="130"/>
      <c r="D828" s="112"/>
      <c r="E828" s="112"/>
      <c r="F828" s="130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>
      <c r="A829" s="112"/>
      <c r="B829" s="112"/>
      <c r="C829" s="130"/>
      <c r="D829" s="112"/>
      <c r="E829" s="112"/>
      <c r="F829" s="130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>
      <c r="A830" s="112"/>
      <c r="B830" s="112"/>
      <c r="C830" s="130"/>
      <c r="D830" s="112"/>
      <c r="E830" s="112"/>
      <c r="F830" s="130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>
      <c r="A831" s="112"/>
      <c r="B831" s="112"/>
      <c r="C831" s="130"/>
      <c r="D831" s="112"/>
      <c r="E831" s="112"/>
      <c r="F831" s="130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>
      <c r="A832" s="112"/>
      <c r="B832" s="112"/>
      <c r="C832" s="130"/>
      <c r="D832" s="112"/>
      <c r="E832" s="112"/>
      <c r="F832" s="130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>
      <c r="A833" s="112"/>
      <c r="B833" s="112"/>
      <c r="C833" s="130"/>
      <c r="D833" s="112"/>
      <c r="E833" s="112"/>
      <c r="F833" s="130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>
      <c r="A834" s="112"/>
      <c r="B834" s="112"/>
      <c r="C834" s="130"/>
      <c r="D834" s="112"/>
      <c r="E834" s="112"/>
      <c r="F834" s="130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>
      <c r="A835" s="112"/>
      <c r="B835" s="112"/>
      <c r="C835" s="130"/>
      <c r="D835" s="112"/>
      <c r="E835" s="112"/>
      <c r="F835" s="130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>
      <c r="A836" s="112"/>
      <c r="B836" s="112"/>
      <c r="C836" s="130"/>
      <c r="D836" s="112"/>
      <c r="E836" s="112"/>
      <c r="F836" s="130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>
      <c r="A837" s="112"/>
      <c r="B837" s="112"/>
      <c r="C837" s="130"/>
      <c r="D837" s="112"/>
      <c r="E837" s="112"/>
      <c r="F837" s="130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>
      <c r="A838" s="112"/>
      <c r="B838" s="112"/>
      <c r="C838" s="130"/>
      <c r="D838" s="112"/>
      <c r="E838" s="112"/>
      <c r="F838" s="130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>
      <c r="A839" s="112"/>
      <c r="B839" s="112"/>
      <c r="C839" s="130"/>
      <c r="D839" s="112"/>
      <c r="E839" s="112"/>
      <c r="F839" s="130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>
      <c r="A840" s="112"/>
      <c r="B840" s="112"/>
      <c r="C840" s="130"/>
      <c r="D840" s="112"/>
      <c r="E840" s="112"/>
      <c r="F840" s="130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>
      <c r="A841" s="112"/>
      <c r="B841" s="112"/>
      <c r="C841" s="130"/>
      <c r="D841" s="112"/>
      <c r="E841" s="112"/>
      <c r="F841" s="130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>
      <c r="A842" s="112"/>
      <c r="B842" s="112"/>
      <c r="C842" s="130"/>
      <c r="D842" s="112"/>
      <c r="E842" s="112"/>
      <c r="F842" s="130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>
      <c r="A843" s="112"/>
      <c r="B843" s="112"/>
      <c r="C843" s="130"/>
      <c r="D843" s="112"/>
      <c r="E843" s="112"/>
      <c r="F843" s="130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>
      <c r="A844" s="112"/>
      <c r="B844" s="112"/>
      <c r="C844" s="130"/>
      <c r="D844" s="112"/>
      <c r="E844" s="112"/>
      <c r="F844" s="130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>
      <c r="A845" s="112"/>
      <c r="B845" s="112"/>
      <c r="C845" s="130"/>
      <c r="D845" s="112"/>
      <c r="E845" s="112"/>
      <c r="F845" s="130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>
      <c r="A846" s="112"/>
      <c r="B846" s="112"/>
      <c r="C846" s="130"/>
      <c r="D846" s="112"/>
      <c r="E846" s="112"/>
      <c r="F846" s="130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>
      <c r="A847" s="112"/>
      <c r="B847" s="112"/>
      <c r="C847" s="130"/>
      <c r="D847" s="112"/>
      <c r="E847" s="112"/>
      <c r="F847" s="130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>
      <c r="A848" s="112"/>
      <c r="B848" s="112"/>
      <c r="C848" s="130"/>
      <c r="D848" s="112"/>
      <c r="E848" s="112"/>
      <c r="F848" s="130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>
      <c r="A849" s="112"/>
      <c r="B849" s="112"/>
      <c r="C849" s="130"/>
      <c r="D849" s="112"/>
      <c r="E849" s="112"/>
      <c r="F849" s="130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>
      <c r="A850" s="112"/>
      <c r="B850" s="112"/>
      <c r="C850" s="130"/>
      <c r="D850" s="112"/>
      <c r="E850" s="112"/>
      <c r="F850" s="130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>
      <c r="A851" s="112"/>
      <c r="B851" s="112"/>
      <c r="C851" s="130"/>
      <c r="D851" s="112"/>
      <c r="E851" s="112"/>
      <c r="F851" s="130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>
      <c r="A852" s="112"/>
      <c r="B852" s="112"/>
      <c r="C852" s="130"/>
      <c r="D852" s="112"/>
      <c r="E852" s="112"/>
      <c r="F852" s="130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>
      <c r="A853" s="112"/>
      <c r="B853" s="112"/>
      <c r="C853" s="130"/>
      <c r="D853" s="112"/>
      <c r="E853" s="112"/>
      <c r="F853" s="130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>
      <c r="A854" s="112"/>
      <c r="B854" s="112"/>
      <c r="C854" s="130"/>
      <c r="D854" s="112"/>
      <c r="E854" s="112"/>
      <c r="F854" s="130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>
      <c r="A855" s="112"/>
      <c r="B855" s="112"/>
      <c r="C855" s="130"/>
      <c r="D855" s="112"/>
      <c r="E855" s="112"/>
      <c r="F855" s="130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>
      <c r="A856" s="112"/>
      <c r="B856" s="112"/>
      <c r="C856" s="130"/>
      <c r="D856" s="112"/>
      <c r="E856" s="112"/>
      <c r="F856" s="130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>
      <c r="A857" s="112"/>
      <c r="B857" s="112"/>
      <c r="C857" s="130"/>
      <c r="D857" s="112"/>
      <c r="E857" s="112"/>
      <c r="F857" s="130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>
      <c r="A858" s="112"/>
      <c r="B858" s="112"/>
      <c r="C858" s="130"/>
      <c r="D858" s="112"/>
      <c r="E858" s="112"/>
      <c r="F858" s="130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>
      <c r="A859" s="112"/>
      <c r="B859" s="112"/>
      <c r="C859" s="130"/>
      <c r="D859" s="112"/>
      <c r="E859" s="112"/>
      <c r="F859" s="130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>
      <c r="A860" s="112"/>
      <c r="B860" s="112"/>
      <c r="C860" s="130"/>
      <c r="D860" s="112"/>
      <c r="E860" s="112"/>
      <c r="F860" s="130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>
      <c r="A861" s="112"/>
      <c r="B861" s="112"/>
      <c r="C861" s="130"/>
      <c r="D861" s="112"/>
      <c r="E861" s="112"/>
      <c r="F861" s="130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>
      <c r="A862" s="112"/>
      <c r="B862" s="112"/>
      <c r="C862" s="130"/>
      <c r="D862" s="112"/>
      <c r="E862" s="112"/>
      <c r="F862" s="130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>
      <c r="A863" s="112"/>
      <c r="B863" s="112"/>
      <c r="C863" s="130"/>
      <c r="D863" s="112"/>
      <c r="E863" s="112"/>
      <c r="F863" s="130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>
      <c r="A864" s="112"/>
      <c r="B864" s="112"/>
      <c r="C864" s="130"/>
      <c r="D864" s="112"/>
      <c r="E864" s="112"/>
      <c r="F864" s="130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>
      <c r="A865" s="112"/>
      <c r="B865" s="112"/>
      <c r="C865" s="130"/>
      <c r="D865" s="112"/>
      <c r="E865" s="112"/>
      <c r="F865" s="130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>
      <c r="A866" s="112"/>
      <c r="B866" s="112"/>
      <c r="C866" s="130"/>
      <c r="D866" s="112"/>
      <c r="E866" s="112"/>
      <c r="F866" s="130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>
      <c r="A867" s="112"/>
      <c r="B867" s="112"/>
      <c r="C867" s="130"/>
      <c r="D867" s="112"/>
      <c r="E867" s="112"/>
      <c r="F867" s="130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>
      <c r="A868" s="112"/>
      <c r="B868" s="112"/>
      <c r="C868" s="130"/>
      <c r="D868" s="112"/>
      <c r="E868" s="112"/>
      <c r="F868" s="130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>
      <c r="A869" s="112"/>
      <c r="B869" s="112"/>
      <c r="C869" s="130"/>
      <c r="D869" s="112"/>
      <c r="E869" s="112"/>
      <c r="F869" s="130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>
      <c r="A870" s="112"/>
      <c r="B870" s="112"/>
      <c r="C870" s="130"/>
      <c r="D870" s="112"/>
      <c r="E870" s="112"/>
      <c r="F870" s="130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>
      <c r="A871" s="112"/>
      <c r="B871" s="112"/>
      <c r="C871" s="130"/>
      <c r="D871" s="112"/>
      <c r="E871" s="112"/>
      <c r="F871" s="130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>
      <c r="A872" s="112"/>
      <c r="B872" s="112"/>
      <c r="C872" s="130"/>
      <c r="D872" s="112"/>
      <c r="E872" s="112"/>
      <c r="F872" s="130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>
      <c r="A873" s="112"/>
      <c r="B873" s="112"/>
      <c r="C873" s="130"/>
      <c r="D873" s="112"/>
      <c r="E873" s="112"/>
      <c r="F873" s="130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>
      <c r="A874" s="112"/>
      <c r="B874" s="112"/>
      <c r="C874" s="130"/>
      <c r="D874" s="112"/>
      <c r="E874" s="112"/>
      <c r="F874" s="130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>
      <c r="A875" s="112"/>
      <c r="B875" s="112"/>
      <c r="C875" s="130"/>
      <c r="D875" s="112"/>
      <c r="E875" s="112"/>
      <c r="F875" s="130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>
      <c r="A876" s="112"/>
      <c r="B876" s="112"/>
      <c r="C876" s="130"/>
      <c r="D876" s="112"/>
      <c r="E876" s="112"/>
      <c r="F876" s="130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>
      <c r="A877" s="112"/>
      <c r="B877" s="112"/>
      <c r="C877" s="130"/>
      <c r="D877" s="112"/>
      <c r="E877" s="112"/>
      <c r="F877" s="130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>
      <c r="A878" s="112"/>
      <c r="B878" s="112"/>
      <c r="C878" s="130"/>
      <c r="D878" s="112"/>
      <c r="E878" s="112"/>
      <c r="F878" s="130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>
      <c r="A879" s="112"/>
      <c r="B879" s="112"/>
      <c r="C879" s="130"/>
      <c r="D879" s="112"/>
      <c r="E879" s="112"/>
      <c r="F879" s="130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>
      <c r="A880" s="112"/>
      <c r="B880" s="112"/>
      <c r="C880" s="130"/>
      <c r="D880" s="112"/>
      <c r="E880" s="112"/>
      <c r="F880" s="130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>
      <c r="A881" s="112"/>
      <c r="B881" s="112"/>
      <c r="C881" s="130"/>
      <c r="D881" s="112"/>
      <c r="E881" s="112"/>
      <c r="F881" s="130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>
      <c r="A882" s="112"/>
      <c r="B882" s="112"/>
      <c r="C882" s="130"/>
      <c r="D882" s="112"/>
      <c r="E882" s="112"/>
      <c r="F882" s="130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>
      <c r="A883" s="112"/>
      <c r="B883" s="112"/>
      <c r="C883" s="130"/>
      <c r="D883" s="112"/>
      <c r="E883" s="112"/>
      <c r="F883" s="130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>
      <c r="A884" s="112"/>
      <c r="B884" s="112"/>
      <c r="C884" s="130"/>
      <c r="D884" s="112"/>
      <c r="E884" s="112"/>
      <c r="F884" s="130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>
      <c r="A885" s="112"/>
      <c r="B885" s="112"/>
      <c r="C885" s="130"/>
      <c r="D885" s="112"/>
      <c r="E885" s="112"/>
      <c r="F885" s="130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>
      <c r="A886" s="112"/>
      <c r="B886" s="112"/>
      <c r="C886" s="130"/>
      <c r="D886" s="112"/>
      <c r="E886" s="112"/>
      <c r="F886" s="130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>
      <c r="A887" s="112"/>
      <c r="B887" s="112"/>
      <c r="C887" s="130"/>
      <c r="D887" s="112"/>
      <c r="E887" s="112"/>
      <c r="F887" s="130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>
      <c r="A888" s="112"/>
      <c r="B888" s="112"/>
      <c r="C888" s="130"/>
      <c r="D888" s="112"/>
      <c r="E888" s="112"/>
      <c r="F888" s="130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>
      <c r="A889" s="112"/>
      <c r="B889" s="112"/>
      <c r="C889" s="130"/>
      <c r="D889" s="112"/>
      <c r="E889" s="112"/>
      <c r="F889" s="130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>
      <c r="A890" s="112"/>
      <c r="B890" s="112"/>
      <c r="C890" s="130"/>
      <c r="D890" s="112"/>
      <c r="E890" s="112"/>
      <c r="F890" s="130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>
      <c r="A891" s="112"/>
      <c r="B891" s="112"/>
      <c r="C891" s="130"/>
      <c r="D891" s="112"/>
      <c r="E891" s="112"/>
      <c r="F891" s="130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>
      <c r="A892" s="112"/>
      <c r="B892" s="112"/>
      <c r="C892" s="130"/>
      <c r="D892" s="112"/>
      <c r="E892" s="112"/>
      <c r="F892" s="130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>
      <c r="A893" s="112"/>
      <c r="B893" s="112"/>
      <c r="C893" s="130"/>
      <c r="D893" s="112"/>
      <c r="E893" s="112"/>
      <c r="F893" s="130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>
      <c r="A894" s="112"/>
      <c r="B894" s="112"/>
      <c r="C894" s="130"/>
      <c r="D894" s="112"/>
      <c r="E894" s="112"/>
      <c r="F894" s="130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>
      <c r="A895" s="112"/>
      <c r="B895" s="112"/>
      <c r="C895" s="130"/>
      <c r="D895" s="112"/>
      <c r="E895" s="112"/>
      <c r="F895" s="130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>
      <c r="A896" s="112"/>
      <c r="B896" s="112"/>
      <c r="C896" s="130"/>
      <c r="D896" s="112"/>
      <c r="E896" s="112"/>
      <c r="F896" s="130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>
      <c r="A897" s="112"/>
      <c r="B897" s="112"/>
      <c r="C897" s="130"/>
      <c r="D897" s="112"/>
      <c r="E897" s="112"/>
      <c r="F897" s="130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>
      <c r="A898" s="112"/>
      <c r="B898" s="112"/>
      <c r="C898" s="130"/>
      <c r="D898" s="112"/>
      <c r="E898" s="112"/>
      <c r="F898" s="130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>
      <c r="A899" s="112"/>
      <c r="B899" s="112"/>
      <c r="C899" s="130"/>
      <c r="D899" s="112"/>
      <c r="E899" s="112"/>
      <c r="F899" s="130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>
      <c r="A900" s="112"/>
      <c r="B900" s="112"/>
      <c r="C900" s="130"/>
      <c r="D900" s="112"/>
      <c r="E900" s="112"/>
      <c r="F900" s="130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>
      <c r="A901" s="112"/>
      <c r="B901" s="112"/>
      <c r="C901" s="130"/>
      <c r="D901" s="112"/>
      <c r="E901" s="112"/>
      <c r="F901" s="130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>
      <c r="A902" s="112"/>
      <c r="B902" s="112"/>
      <c r="C902" s="130"/>
      <c r="D902" s="112"/>
      <c r="E902" s="112"/>
      <c r="F902" s="130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>
      <c r="A903" s="112"/>
      <c r="B903" s="112"/>
      <c r="C903" s="130"/>
      <c r="D903" s="112"/>
      <c r="E903" s="112"/>
      <c r="F903" s="130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>
      <c r="A904" s="112"/>
      <c r="B904" s="112"/>
      <c r="C904" s="130"/>
      <c r="D904" s="112"/>
      <c r="E904" s="112"/>
      <c r="F904" s="130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>
      <c r="A905" s="112"/>
      <c r="B905" s="112"/>
      <c r="C905" s="130"/>
      <c r="D905" s="112"/>
      <c r="E905" s="112"/>
      <c r="F905" s="130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>
      <c r="A906" s="112"/>
      <c r="B906" s="112"/>
      <c r="C906" s="130"/>
      <c r="D906" s="112"/>
      <c r="E906" s="112"/>
      <c r="F906" s="130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>
      <c r="A907" s="112"/>
      <c r="B907" s="112"/>
      <c r="C907" s="130"/>
      <c r="D907" s="112"/>
      <c r="E907" s="112"/>
      <c r="F907" s="130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>
      <c r="A908" s="112"/>
      <c r="B908" s="112"/>
      <c r="C908" s="130"/>
      <c r="D908" s="112"/>
      <c r="E908" s="112"/>
      <c r="F908" s="130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>
      <c r="A909" s="112"/>
      <c r="B909" s="112"/>
      <c r="C909" s="130"/>
      <c r="D909" s="112"/>
      <c r="E909" s="112"/>
      <c r="F909" s="130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>
      <c r="A910" s="112"/>
      <c r="B910" s="112"/>
      <c r="C910" s="130"/>
      <c r="D910" s="112"/>
      <c r="E910" s="112"/>
      <c r="F910" s="130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>
      <c r="A911" s="112"/>
      <c r="B911" s="112"/>
      <c r="C911" s="130"/>
      <c r="D911" s="112"/>
      <c r="E911" s="112"/>
      <c r="F911" s="130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>
      <c r="A912" s="112"/>
      <c r="B912" s="112"/>
      <c r="C912" s="130"/>
      <c r="D912" s="112"/>
      <c r="E912" s="112"/>
      <c r="F912" s="130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>
      <c r="A913" s="112"/>
      <c r="B913" s="112"/>
      <c r="C913" s="130"/>
      <c r="D913" s="112"/>
      <c r="E913" s="112"/>
      <c r="F913" s="130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>
      <c r="A914" s="112"/>
      <c r="B914" s="112"/>
      <c r="C914" s="130"/>
      <c r="D914" s="112"/>
      <c r="E914" s="112"/>
      <c r="F914" s="130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>
      <c r="A915" s="112"/>
      <c r="B915" s="112"/>
      <c r="C915" s="130"/>
      <c r="D915" s="112"/>
      <c r="E915" s="112"/>
      <c r="F915" s="130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>
      <c r="A916" s="112"/>
      <c r="B916" s="112"/>
      <c r="C916" s="130"/>
      <c r="D916" s="112"/>
      <c r="E916" s="112"/>
      <c r="F916" s="130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>
      <c r="A917" s="112"/>
      <c r="B917" s="112"/>
      <c r="C917" s="130"/>
      <c r="D917" s="112"/>
      <c r="E917" s="112"/>
      <c r="F917" s="130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>
      <c r="A918" s="112"/>
      <c r="B918" s="112"/>
      <c r="C918" s="130"/>
      <c r="D918" s="112"/>
      <c r="E918" s="112"/>
      <c r="F918" s="130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>
      <c r="A919" s="112"/>
      <c r="B919" s="112"/>
      <c r="C919" s="130"/>
      <c r="D919" s="112"/>
      <c r="E919" s="112"/>
      <c r="F919" s="130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>
      <c r="A920" s="112"/>
      <c r="B920" s="112"/>
      <c r="C920" s="130"/>
      <c r="D920" s="112"/>
      <c r="E920" s="112"/>
      <c r="F920" s="130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>
      <c r="A921" s="112"/>
      <c r="B921" s="112"/>
      <c r="C921" s="130"/>
      <c r="D921" s="112"/>
      <c r="E921" s="112"/>
      <c r="F921" s="130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>
      <c r="A922" s="112"/>
      <c r="B922" s="112"/>
      <c r="C922" s="130"/>
      <c r="D922" s="112"/>
      <c r="E922" s="112"/>
      <c r="F922" s="130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>
      <c r="A923" s="112"/>
      <c r="B923" s="112"/>
      <c r="C923" s="130"/>
      <c r="D923" s="112"/>
      <c r="E923" s="112"/>
      <c r="F923" s="130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>
      <c r="A924" s="112"/>
      <c r="B924" s="112"/>
      <c r="C924" s="130"/>
      <c r="D924" s="112"/>
      <c r="E924" s="112"/>
      <c r="F924" s="130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>
      <c r="A925" s="112"/>
      <c r="B925" s="112"/>
      <c r="C925" s="130"/>
      <c r="D925" s="112"/>
      <c r="E925" s="112"/>
      <c r="F925" s="130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>
      <c r="A926" s="112"/>
      <c r="B926" s="112"/>
      <c r="C926" s="130"/>
      <c r="D926" s="112"/>
      <c r="E926" s="112"/>
      <c r="F926" s="130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>
      <c r="A927" s="112"/>
      <c r="B927" s="112"/>
      <c r="C927" s="130"/>
      <c r="D927" s="112"/>
      <c r="E927" s="112"/>
      <c r="F927" s="130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>
      <c r="A928" s="112"/>
      <c r="B928" s="112"/>
      <c r="C928" s="130"/>
      <c r="D928" s="112"/>
      <c r="E928" s="112"/>
      <c r="F928" s="130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>
      <c r="A929" s="112"/>
      <c r="B929" s="112"/>
      <c r="C929" s="130"/>
      <c r="D929" s="112"/>
      <c r="E929" s="112"/>
      <c r="F929" s="130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>
      <c r="A930" s="112"/>
      <c r="B930" s="112"/>
      <c r="C930" s="130"/>
      <c r="D930" s="112"/>
      <c r="E930" s="112"/>
      <c r="F930" s="130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>
      <c r="A931" s="112"/>
      <c r="B931" s="112"/>
      <c r="C931" s="130"/>
      <c r="D931" s="112"/>
      <c r="E931" s="112"/>
      <c r="F931" s="130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>
      <c r="A932" s="112"/>
      <c r="B932" s="112"/>
      <c r="C932" s="130"/>
      <c r="D932" s="112"/>
      <c r="E932" s="112"/>
      <c r="F932" s="130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>
      <c r="A933" s="112"/>
      <c r="B933" s="112"/>
      <c r="C933" s="130"/>
      <c r="D933" s="112"/>
      <c r="E933" s="112"/>
      <c r="F933" s="130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>
      <c r="A934" s="112"/>
      <c r="B934" s="112"/>
      <c r="C934" s="130"/>
      <c r="D934" s="112"/>
      <c r="E934" s="112"/>
      <c r="F934" s="130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>
      <c r="A935" s="112"/>
      <c r="B935" s="112"/>
      <c r="C935" s="130"/>
      <c r="D935" s="112"/>
      <c r="E935" s="112"/>
      <c r="F935" s="130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>
      <c r="A936" s="112"/>
      <c r="B936" s="112"/>
      <c r="C936" s="130"/>
      <c r="D936" s="112"/>
      <c r="E936" s="112"/>
      <c r="F936" s="130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>
      <c r="A937" s="112"/>
      <c r="B937" s="112"/>
      <c r="C937" s="130"/>
      <c r="D937" s="112"/>
      <c r="E937" s="112"/>
      <c r="F937" s="130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>
      <c r="A938" s="112"/>
      <c r="B938" s="112"/>
      <c r="C938" s="130"/>
      <c r="D938" s="112"/>
      <c r="E938" s="112"/>
      <c r="F938" s="130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>
      <c r="A939" s="112"/>
      <c r="B939" s="112"/>
      <c r="C939" s="130"/>
      <c r="D939" s="112"/>
      <c r="E939" s="112"/>
      <c r="F939" s="130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>
      <c r="A940" s="112"/>
      <c r="B940" s="112"/>
      <c r="C940" s="130"/>
      <c r="D940" s="112"/>
      <c r="E940" s="112"/>
      <c r="F940" s="130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>
      <c r="A941" s="112"/>
      <c r="B941" s="112"/>
      <c r="C941" s="130"/>
      <c r="D941" s="112"/>
      <c r="E941" s="112"/>
      <c r="F941" s="130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>
      <c r="A942" s="112"/>
      <c r="B942" s="112"/>
      <c r="C942" s="130"/>
      <c r="D942" s="112"/>
      <c r="E942" s="112"/>
      <c r="F942" s="130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>
      <c r="A943" s="112"/>
      <c r="B943" s="112"/>
      <c r="C943" s="130"/>
      <c r="D943" s="112"/>
      <c r="E943" s="112"/>
      <c r="F943" s="130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>
      <c r="A944" s="112"/>
      <c r="B944" s="112"/>
      <c r="C944" s="130"/>
      <c r="D944" s="112"/>
      <c r="E944" s="112"/>
      <c r="F944" s="130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>
      <c r="A945" s="112"/>
      <c r="B945" s="112"/>
      <c r="C945" s="130"/>
      <c r="D945" s="112"/>
      <c r="E945" s="112"/>
      <c r="F945" s="130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>
      <c r="A946" s="112"/>
      <c r="B946" s="112"/>
      <c r="C946" s="130"/>
      <c r="D946" s="112"/>
      <c r="E946" s="112"/>
      <c r="F946" s="130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>
      <c r="A947" s="112"/>
      <c r="B947" s="112"/>
      <c r="C947" s="130"/>
      <c r="D947" s="112"/>
      <c r="E947" s="112"/>
      <c r="F947" s="130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>
      <c r="A948" s="112"/>
      <c r="B948" s="112"/>
      <c r="C948" s="130"/>
      <c r="D948" s="112"/>
      <c r="E948" s="112"/>
      <c r="F948" s="130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>
      <c r="A949" s="112"/>
      <c r="B949" s="112"/>
      <c r="C949" s="130"/>
      <c r="D949" s="112"/>
      <c r="E949" s="112"/>
      <c r="F949" s="130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>
      <c r="A950" s="112"/>
      <c r="B950" s="112"/>
      <c r="C950" s="130"/>
      <c r="D950" s="112"/>
      <c r="E950" s="112"/>
      <c r="F950" s="130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>
      <c r="A951" s="112"/>
      <c r="B951" s="112"/>
      <c r="C951" s="130"/>
      <c r="D951" s="112"/>
      <c r="E951" s="112"/>
      <c r="F951" s="130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>
      <c r="A952" s="112"/>
      <c r="B952" s="112"/>
      <c r="C952" s="130"/>
      <c r="D952" s="112"/>
      <c r="E952" s="112"/>
      <c r="F952" s="130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>
      <c r="A953" s="112"/>
      <c r="B953" s="112"/>
      <c r="C953" s="130"/>
      <c r="D953" s="112"/>
      <c r="E953" s="112"/>
      <c r="F953" s="130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>
      <c r="A954" s="112"/>
      <c r="B954" s="112"/>
      <c r="C954" s="130"/>
      <c r="D954" s="112"/>
      <c r="E954" s="112"/>
      <c r="F954" s="130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>
      <c r="A955" s="112"/>
      <c r="B955" s="112"/>
      <c r="C955" s="130"/>
      <c r="D955" s="112"/>
      <c r="E955" s="112"/>
      <c r="F955" s="130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>
      <c r="A956" s="112"/>
      <c r="B956" s="112"/>
      <c r="C956" s="130"/>
      <c r="D956" s="112"/>
      <c r="E956" s="112"/>
      <c r="F956" s="130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>
      <c r="A957" s="112"/>
      <c r="B957" s="112"/>
      <c r="C957" s="130"/>
      <c r="D957" s="112"/>
      <c r="E957" s="112"/>
      <c r="F957" s="130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>
      <c r="A958" s="112"/>
      <c r="B958" s="112"/>
      <c r="C958" s="130"/>
      <c r="D958" s="112"/>
      <c r="E958" s="112"/>
      <c r="F958" s="130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>
      <c r="A959" s="112"/>
      <c r="B959" s="112"/>
      <c r="C959" s="130"/>
      <c r="D959" s="112"/>
      <c r="E959" s="112"/>
      <c r="F959" s="130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>
      <c r="A960" s="112"/>
      <c r="B960" s="112"/>
      <c r="C960" s="130"/>
      <c r="D960" s="112"/>
      <c r="E960" s="112"/>
      <c r="F960" s="130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>
      <c r="A961" s="112"/>
      <c r="B961" s="112"/>
      <c r="C961" s="130"/>
      <c r="D961" s="112"/>
      <c r="E961" s="112"/>
      <c r="F961" s="130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>
      <c r="A962" s="112"/>
      <c r="B962" s="112"/>
      <c r="C962" s="130"/>
      <c r="D962" s="112"/>
      <c r="E962" s="112"/>
      <c r="F962" s="130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>
      <c r="A963" s="112"/>
      <c r="B963" s="112"/>
      <c r="C963" s="130"/>
      <c r="D963" s="112"/>
      <c r="E963" s="112"/>
      <c r="F963" s="130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>
      <c r="A964" s="112"/>
      <c r="B964" s="112"/>
      <c r="C964" s="130"/>
      <c r="D964" s="112"/>
      <c r="E964" s="112"/>
      <c r="F964" s="130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>
      <c r="A965" s="112"/>
      <c r="B965" s="112"/>
      <c r="C965" s="130"/>
      <c r="D965" s="112"/>
      <c r="E965" s="112"/>
      <c r="F965" s="130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>
      <c r="A966" s="112"/>
      <c r="B966" s="112"/>
      <c r="C966" s="130"/>
      <c r="D966" s="112"/>
      <c r="E966" s="112"/>
      <c r="F966" s="130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>
      <c r="A967" s="112"/>
      <c r="B967" s="112"/>
      <c r="C967" s="130"/>
      <c r="D967" s="112"/>
      <c r="E967" s="112"/>
      <c r="F967" s="130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>
      <c r="A968" s="112"/>
      <c r="B968" s="112"/>
      <c r="C968" s="130"/>
      <c r="D968" s="112"/>
      <c r="E968" s="112"/>
      <c r="F968" s="130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>
      <c r="A969" s="112"/>
      <c r="B969" s="112"/>
      <c r="C969" s="130"/>
      <c r="D969" s="112"/>
      <c r="E969" s="112"/>
      <c r="F969" s="130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>
      <c r="A970" s="112"/>
      <c r="B970" s="112"/>
      <c r="C970" s="130"/>
      <c r="D970" s="112"/>
      <c r="E970" s="112"/>
      <c r="F970" s="130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>
      <c r="A971" s="112"/>
      <c r="B971" s="112"/>
      <c r="C971" s="130"/>
      <c r="D971" s="112"/>
      <c r="E971" s="112"/>
      <c r="F971" s="130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>
      <c r="A972" s="112"/>
      <c r="B972" s="112"/>
      <c r="C972" s="130"/>
      <c r="D972" s="112"/>
      <c r="E972" s="112"/>
      <c r="F972" s="130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>
      <c r="A973" s="112"/>
      <c r="B973" s="112"/>
      <c r="C973" s="130"/>
      <c r="D973" s="112"/>
      <c r="E973" s="112"/>
      <c r="F973" s="130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>
      <c r="A974" s="112"/>
      <c r="B974" s="112"/>
      <c r="C974" s="130"/>
      <c r="D974" s="112"/>
      <c r="E974" s="112"/>
      <c r="F974" s="130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>
      <c r="A975" s="112"/>
      <c r="B975" s="112"/>
      <c r="C975" s="130"/>
      <c r="D975" s="112"/>
      <c r="E975" s="112"/>
      <c r="F975" s="130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>
      <c r="A976" s="112"/>
      <c r="B976" s="112"/>
      <c r="C976" s="130"/>
      <c r="D976" s="112"/>
      <c r="E976" s="112"/>
      <c r="F976" s="130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>
      <c r="A977" s="112"/>
      <c r="B977" s="112"/>
      <c r="C977" s="130"/>
      <c r="D977" s="112"/>
      <c r="E977" s="112"/>
      <c r="F977" s="130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>
      <c r="A978" s="112"/>
      <c r="B978" s="112"/>
      <c r="C978" s="130"/>
      <c r="D978" s="112"/>
      <c r="E978" s="112"/>
      <c r="F978" s="130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>
      <c r="A979" s="112"/>
      <c r="B979" s="112"/>
      <c r="C979" s="130"/>
      <c r="D979" s="112"/>
      <c r="E979" s="112"/>
      <c r="F979" s="130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>
      <c r="A980" s="112"/>
      <c r="B980" s="112"/>
      <c r="C980" s="130"/>
      <c r="D980" s="112"/>
      <c r="E980" s="112"/>
      <c r="F980" s="130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>
      <c r="A981" s="112"/>
      <c r="B981" s="112"/>
      <c r="C981" s="130"/>
      <c r="D981" s="112"/>
      <c r="E981" s="112"/>
      <c r="F981" s="130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>
      <c r="A982" s="112"/>
      <c r="B982" s="112"/>
      <c r="C982" s="130"/>
      <c r="D982" s="112"/>
      <c r="E982" s="112"/>
      <c r="F982" s="130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>
      <c r="A983" s="112"/>
      <c r="B983" s="112"/>
      <c r="C983" s="130"/>
      <c r="D983" s="112"/>
      <c r="E983" s="112"/>
      <c r="F983" s="130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>
      <c r="A984" s="112"/>
      <c r="B984" s="112"/>
      <c r="C984" s="130"/>
      <c r="D984" s="112"/>
      <c r="E984" s="112"/>
      <c r="F984" s="130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>
      <c r="A985" s="112"/>
      <c r="B985" s="112"/>
      <c r="C985" s="130"/>
      <c r="D985" s="112"/>
      <c r="E985" s="112"/>
      <c r="F985" s="130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>
      <c r="A986" s="112"/>
      <c r="B986" s="112"/>
      <c r="C986" s="130"/>
      <c r="D986" s="112"/>
      <c r="E986" s="112"/>
      <c r="F986" s="130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>
      <c r="A987" s="112"/>
      <c r="B987" s="112"/>
      <c r="C987" s="130"/>
      <c r="D987" s="112"/>
      <c r="E987" s="112"/>
      <c r="F987" s="130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>
      <c r="A988" s="112"/>
      <c r="B988" s="112"/>
      <c r="C988" s="130"/>
      <c r="D988" s="112"/>
      <c r="E988" s="112"/>
      <c r="F988" s="130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>
      <c r="A989" s="112"/>
      <c r="B989" s="112"/>
      <c r="C989" s="130"/>
      <c r="D989" s="112"/>
      <c r="E989" s="112"/>
      <c r="F989" s="130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>
      <c r="A990" s="112"/>
      <c r="B990" s="112"/>
      <c r="C990" s="130"/>
      <c r="D990" s="112"/>
      <c r="E990" s="112"/>
      <c r="F990" s="130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>
      <c r="A991" s="112"/>
      <c r="B991" s="112"/>
      <c r="C991" s="130"/>
      <c r="D991" s="112"/>
      <c r="E991" s="112"/>
      <c r="F991" s="130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>
      <c r="A992" s="112"/>
      <c r="B992" s="112"/>
      <c r="C992" s="130"/>
      <c r="D992" s="112"/>
      <c r="E992" s="112"/>
      <c r="F992" s="130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>
      <c r="A993" s="112"/>
      <c r="B993" s="112"/>
      <c r="C993" s="130"/>
      <c r="D993" s="112"/>
      <c r="E993" s="112"/>
      <c r="F993" s="130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>
      <c r="A994" s="112"/>
      <c r="B994" s="112"/>
      <c r="C994" s="130"/>
      <c r="D994" s="112"/>
      <c r="E994" s="112"/>
      <c r="F994" s="130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>
      <c r="A995" s="112"/>
      <c r="B995" s="112"/>
      <c r="C995" s="130"/>
      <c r="D995" s="112"/>
      <c r="E995" s="112"/>
      <c r="F995" s="130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>
      <c r="A996" s="112"/>
      <c r="B996" s="112"/>
      <c r="C996" s="130"/>
      <c r="D996" s="112"/>
      <c r="E996" s="112"/>
      <c r="F996" s="130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>
      <c r="A997" s="112"/>
      <c r="B997" s="112"/>
      <c r="C997" s="130"/>
      <c r="D997" s="112"/>
      <c r="E997" s="112"/>
      <c r="F997" s="130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>
      <c r="A998" s="112"/>
      <c r="B998" s="112"/>
      <c r="C998" s="130"/>
      <c r="D998" s="112"/>
      <c r="E998" s="112"/>
      <c r="F998" s="130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>
      <c r="A999" s="112"/>
      <c r="B999" s="112"/>
      <c r="C999" s="130"/>
      <c r="D999" s="112"/>
      <c r="E999" s="112"/>
      <c r="F999" s="130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5.75" customHeight="1">
      <c r="A1000" s="112"/>
      <c r="B1000" s="112"/>
      <c r="C1000" s="130"/>
      <c r="D1000" s="112"/>
      <c r="E1000" s="112"/>
      <c r="F1000" s="130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20">
    <mergeCell ref="C35:F35"/>
    <mergeCell ref="C36:F36"/>
    <mergeCell ref="C12:F12"/>
    <mergeCell ref="C14:G14"/>
    <mergeCell ref="C15:G15"/>
    <mergeCell ref="C20:F20"/>
    <mergeCell ref="C21:F21"/>
    <mergeCell ref="C23:G23"/>
    <mergeCell ref="C24:G24"/>
    <mergeCell ref="I12:L12"/>
    <mergeCell ref="C27:F27"/>
    <mergeCell ref="C28:F28"/>
    <mergeCell ref="C30:G30"/>
    <mergeCell ref="C31:G31"/>
    <mergeCell ref="C4:G4"/>
    <mergeCell ref="I4:M4"/>
    <mergeCell ref="C5:G5"/>
    <mergeCell ref="I5:M5"/>
    <mergeCell ref="C11:F11"/>
    <mergeCell ref="I11:L11"/>
  </mergeCells>
  <pageMargins left="0.511811024" right="0.511811024" top="0.78740157499999996" bottom="0.78740157499999996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2" width="9.140625" customWidth="1"/>
    <col min="3" max="3" width="17.7109375" customWidth="1"/>
    <col min="4" max="5" width="9.140625" customWidth="1"/>
    <col min="6" max="6" width="11" customWidth="1"/>
    <col min="7" max="26" width="8.7109375" customWidth="1"/>
  </cols>
  <sheetData>
    <row r="1" spans="1:26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>
      <c r="A2" s="112"/>
      <c r="B2" s="267" t="s">
        <v>348</v>
      </c>
      <c r="C2" s="268"/>
      <c r="D2" s="268"/>
      <c r="E2" s="268"/>
      <c r="F2" s="210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>
      <c r="A3" s="112"/>
      <c r="B3" s="269" t="s">
        <v>349</v>
      </c>
      <c r="C3" s="268"/>
      <c r="D3" s="268"/>
      <c r="E3" s="268"/>
      <c r="F3" s="210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25.5">
      <c r="A4" s="112"/>
      <c r="B4" s="131" t="s">
        <v>1</v>
      </c>
      <c r="C4" s="132" t="s">
        <v>338</v>
      </c>
      <c r="D4" s="132" t="s">
        <v>5</v>
      </c>
      <c r="E4" s="132" t="s">
        <v>4</v>
      </c>
      <c r="F4" s="132" t="s">
        <v>339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>
      <c r="A5" s="112"/>
      <c r="B5" s="133">
        <v>1</v>
      </c>
      <c r="C5" s="134" t="s">
        <v>350</v>
      </c>
      <c r="D5" s="135">
        <v>2</v>
      </c>
      <c r="E5" s="136">
        <f>(269.8+223.48+187.35)/3</f>
        <v>226.87666666666667</v>
      </c>
      <c r="F5" s="137">
        <f t="shared" ref="F5:F9" si="0">E5*D5</f>
        <v>453.75333333333333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30">
      <c r="A6" s="112"/>
      <c r="B6" s="133">
        <v>2</v>
      </c>
      <c r="C6" s="134" t="s">
        <v>351</v>
      </c>
      <c r="D6" s="135">
        <v>1</v>
      </c>
      <c r="E6" s="136">
        <f>(110.9+79.77)/2</f>
        <v>95.335000000000008</v>
      </c>
      <c r="F6" s="137">
        <f t="shared" si="0"/>
        <v>95.335000000000008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>
      <c r="A7" s="112"/>
      <c r="B7" s="133">
        <v>3</v>
      </c>
      <c r="C7" s="134" t="s">
        <v>352</v>
      </c>
      <c r="D7" s="135">
        <v>24</v>
      </c>
      <c r="E7" s="136">
        <f>(7.68+5.18)/2</f>
        <v>6.43</v>
      </c>
      <c r="F7" s="137">
        <f t="shared" si="0"/>
        <v>154.32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>
      <c r="A8" s="112"/>
      <c r="B8" s="133">
        <v>4</v>
      </c>
      <c r="C8" s="134" t="s">
        <v>353</v>
      </c>
      <c r="D8" s="135">
        <v>24</v>
      </c>
      <c r="E8" s="136">
        <f>(3.42+2.26+3.79)/3</f>
        <v>3.1566666666666663</v>
      </c>
      <c r="F8" s="137">
        <f t="shared" si="0"/>
        <v>75.759999999999991</v>
      </c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30">
      <c r="A9" s="112"/>
      <c r="B9" s="133">
        <v>5</v>
      </c>
      <c r="C9" s="134" t="s">
        <v>354</v>
      </c>
      <c r="D9" s="135">
        <v>3</v>
      </c>
      <c r="E9" s="136">
        <f>(135.9+110.4+82.36)/3</f>
        <v>109.55333333333334</v>
      </c>
      <c r="F9" s="137">
        <f t="shared" si="0"/>
        <v>328.66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>
      <c r="A10" s="112"/>
      <c r="B10" s="270" t="s">
        <v>344</v>
      </c>
      <c r="C10" s="268"/>
      <c r="D10" s="268"/>
      <c r="E10" s="210"/>
      <c r="F10" s="138">
        <f>F5+F6+F7+F8+F9</f>
        <v>1107.8283333333334</v>
      </c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>
      <c r="A11" s="112"/>
      <c r="B11" s="269" t="s">
        <v>345</v>
      </c>
      <c r="C11" s="268"/>
      <c r="D11" s="268"/>
      <c r="E11" s="210"/>
      <c r="F11" s="139">
        <f>F10/12</f>
        <v>92.319027777777777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>
      <c r="A13" s="112"/>
      <c r="B13" s="267" t="s">
        <v>348</v>
      </c>
      <c r="C13" s="268"/>
      <c r="D13" s="268"/>
      <c r="E13" s="268"/>
      <c r="F13" s="210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24" customHeight="1">
      <c r="A14" s="112"/>
      <c r="B14" s="269" t="s">
        <v>355</v>
      </c>
      <c r="C14" s="268"/>
      <c r="D14" s="268"/>
      <c r="E14" s="268"/>
      <c r="F14" s="210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25.5">
      <c r="A15" s="112"/>
      <c r="B15" s="131" t="s">
        <v>1</v>
      </c>
      <c r="C15" s="132" t="s">
        <v>338</v>
      </c>
      <c r="D15" s="132" t="s">
        <v>5</v>
      </c>
      <c r="E15" s="132" t="s">
        <v>4</v>
      </c>
      <c r="F15" s="132" t="s">
        <v>339</v>
      </c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>
      <c r="A16" s="112"/>
      <c r="B16" s="133">
        <v>1</v>
      </c>
      <c r="C16" s="134" t="s">
        <v>350</v>
      </c>
      <c r="D16" s="135">
        <v>2</v>
      </c>
      <c r="E16" s="136">
        <f t="shared" ref="E16:E17" si="1">E5</f>
        <v>226.87666666666667</v>
      </c>
      <c r="F16" s="137">
        <f t="shared" ref="F16:F22" si="2">E16*D16</f>
        <v>453.75333333333333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30">
      <c r="A17" s="112"/>
      <c r="B17" s="133">
        <v>2</v>
      </c>
      <c r="C17" s="134" t="s">
        <v>351</v>
      </c>
      <c r="D17" s="135">
        <v>1</v>
      </c>
      <c r="E17" s="136">
        <f t="shared" si="1"/>
        <v>95.335000000000008</v>
      </c>
      <c r="F17" s="137">
        <f t="shared" si="2"/>
        <v>95.335000000000008</v>
      </c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30">
      <c r="A18" s="112"/>
      <c r="B18" s="133">
        <v>3</v>
      </c>
      <c r="C18" s="134" t="s">
        <v>356</v>
      </c>
      <c r="D18" s="135">
        <v>2</v>
      </c>
      <c r="E18" s="136">
        <f>(7.99+8.78+8.9)/3</f>
        <v>8.5566666666666666</v>
      </c>
      <c r="F18" s="137">
        <f t="shared" si="2"/>
        <v>17.113333333333333</v>
      </c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>
      <c r="A19" s="112"/>
      <c r="B19" s="133">
        <v>4</v>
      </c>
      <c r="C19" s="134" t="s">
        <v>357</v>
      </c>
      <c r="D19" s="135">
        <v>24</v>
      </c>
      <c r="E19" s="136">
        <f t="shared" ref="E19:E20" si="3">E7</f>
        <v>6.43</v>
      </c>
      <c r="F19" s="137">
        <f t="shared" si="2"/>
        <v>154.32</v>
      </c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>
      <c r="A20" s="112"/>
      <c r="B20" s="133">
        <v>5</v>
      </c>
      <c r="C20" s="134" t="s">
        <v>353</v>
      </c>
      <c r="D20" s="135">
        <v>24</v>
      </c>
      <c r="E20" s="136">
        <f t="shared" si="3"/>
        <v>3.1566666666666663</v>
      </c>
      <c r="F20" s="137">
        <f t="shared" si="2"/>
        <v>75.759999999999991</v>
      </c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>
      <c r="A21" s="112"/>
      <c r="B21" s="133">
        <v>6</v>
      </c>
      <c r="C21" s="134" t="s">
        <v>358</v>
      </c>
      <c r="D21" s="135">
        <v>12</v>
      </c>
      <c r="E21" s="136">
        <f>(3.4+4.62)/2</f>
        <v>4.01</v>
      </c>
      <c r="F21" s="137">
        <f t="shared" si="2"/>
        <v>48.12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>
      <c r="A22" s="112"/>
      <c r="B22" s="133">
        <v>7</v>
      </c>
      <c r="C22" s="134" t="s">
        <v>354</v>
      </c>
      <c r="D22" s="135">
        <v>6</v>
      </c>
      <c r="E22" s="136">
        <f>E9</f>
        <v>109.55333333333334</v>
      </c>
      <c r="F22" s="137">
        <f t="shared" si="2"/>
        <v>657.32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5.75" customHeight="1">
      <c r="A23" s="112"/>
      <c r="B23" s="270" t="s">
        <v>344</v>
      </c>
      <c r="C23" s="268"/>
      <c r="D23" s="268"/>
      <c r="E23" s="210"/>
      <c r="F23" s="138">
        <f>F16+F17+F18+F19+F20+F21+F22</f>
        <v>1501.7216666666668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.75" customHeight="1">
      <c r="A24" s="112"/>
      <c r="B24" s="269" t="s">
        <v>345</v>
      </c>
      <c r="C24" s="268"/>
      <c r="D24" s="268"/>
      <c r="E24" s="210"/>
      <c r="F24" s="139">
        <f>F23/12</f>
        <v>125.14347222222223</v>
      </c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.75" customHeight="1">
      <c r="A26" s="112"/>
      <c r="B26" s="267" t="s">
        <v>348</v>
      </c>
      <c r="C26" s="268"/>
      <c r="D26" s="268"/>
      <c r="E26" s="268"/>
      <c r="F26" s="210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27.75" customHeight="1">
      <c r="A27" s="112"/>
      <c r="B27" s="269" t="s">
        <v>359</v>
      </c>
      <c r="C27" s="268"/>
      <c r="D27" s="268"/>
      <c r="E27" s="268"/>
      <c r="F27" s="210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>
      <c r="A28" s="112"/>
      <c r="B28" s="131" t="s">
        <v>1</v>
      </c>
      <c r="C28" s="132" t="s">
        <v>338</v>
      </c>
      <c r="D28" s="132" t="s">
        <v>5</v>
      </c>
      <c r="E28" s="132" t="s">
        <v>4</v>
      </c>
      <c r="F28" s="132" t="s">
        <v>339</v>
      </c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5.75" customHeight="1">
      <c r="A29" s="112"/>
      <c r="B29" s="133">
        <v>1</v>
      </c>
      <c r="C29" s="134" t="s">
        <v>360</v>
      </c>
      <c r="D29" s="135">
        <v>2</v>
      </c>
      <c r="E29" s="136">
        <f>(269.8+223.48+187.35)/3</f>
        <v>226.87666666666667</v>
      </c>
      <c r="F29" s="137">
        <f t="shared" ref="F29:F37" si="4">E29*D29</f>
        <v>453.75333333333333</v>
      </c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.75" customHeight="1">
      <c r="A30" s="112"/>
      <c r="B30" s="133">
        <v>2</v>
      </c>
      <c r="C30" s="134" t="s">
        <v>361</v>
      </c>
      <c r="D30" s="135">
        <v>2</v>
      </c>
      <c r="E30" s="136">
        <f>(13.99+13.46+15.46)/3</f>
        <v>14.303333333333335</v>
      </c>
      <c r="F30" s="137">
        <f t="shared" si="4"/>
        <v>28.606666666666669</v>
      </c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.75" customHeight="1">
      <c r="A31" s="112"/>
      <c r="B31" s="133">
        <v>3</v>
      </c>
      <c r="C31" s="134" t="s">
        <v>362</v>
      </c>
      <c r="D31" s="135">
        <v>2</v>
      </c>
      <c r="E31" s="136">
        <f>(34.9+31+29.96)/3</f>
        <v>31.953333333333337</v>
      </c>
      <c r="F31" s="137">
        <f t="shared" si="4"/>
        <v>63.906666666666673</v>
      </c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.75" customHeight="1">
      <c r="A32" s="112"/>
      <c r="B32" s="133">
        <v>4</v>
      </c>
      <c r="C32" s="134" t="s">
        <v>363</v>
      </c>
      <c r="D32" s="135">
        <v>12</v>
      </c>
      <c r="E32" s="136">
        <v>5.18</v>
      </c>
      <c r="F32" s="137">
        <f t="shared" si="4"/>
        <v>62.16</v>
      </c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.75" customHeight="1">
      <c r="A33" s="112"/>
      <c r="B33" s="133">
        <v>5</v>
      </c>
      <c r="C33" s="134" t="s">
        <v>356</v>
      </c>
      <c r="D33" s="135">
        <v>2</v>
      </c>
      <c r="E33" s="136">
        <f>(7.99+8.78+8.9)/3</f>
        <v>8.5566666666666666</v>
      </c>
      <c r="F33" s="137">
        <f t="shared" si="4"/>
        <v>17.113333333333333</v>
      </c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.75" customHeight="1">
      <c r="A34" s="112"/>
      <c r="B34" s="133">
        <v>6</v>
      </c>
      <c r="C34" s="134" t="s">
        <v>350</v>
      </c>
      <c r="D34" s="135">
        <v>2</v>
      </c>
      <c r="E34" s="136">
        <f>E16</f>
        <v>226.87666666666667</v>
      </c>
      <c r="F34" s="137">
        <f t="shared" si="4"/>
        <v>453.75333333333333</v>
      </c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.75" customHeight="1">
      <c r="A35" s="112"/>
      <c r="B35" s="133">
        <v>7</v>
      </c>
      <c r="C35" s="134" t="s">
        <v>364</v>
      </c>
      <c r="D35" s="135">
        <v>2</v>
      </c>
      <c r="E35" s="136"/>
      <c r="F35" s="137">
        <f t="shared" si="4"/>
        <v>0</v>
      </c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>
      <c r="A36" s="112"/>
      <c r="B36" s="133">
        <v>8</v>
      </c>
      <c r="C36" s="134" t="s">
        <v>365</v>
      </c>
      <c r="D36" s="135">
        <v>6</v>
      </c>
      <c r="E36" s="136">
        <f>E22</f>
        <v>109.55333333333334</v>
      </c>
      <c r="F36" s="137">
        <f t="shared" si="4"/>
        <v>657.32</v>
      </c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.75" customHeight="1">
      <c r="A37" s="112"/>
      <c r="B37" s="133">
        <v>9</v>
      </c>
      <c r="C37" s="134" t="s">
        <v>366</v>
      </c>
      <c r="D37" s="135">
        <v>1</v>
      </c>
      <c r="E37" s="136">
        <f>(74.95+85+84.33)/3</f>
        <v>81.426666666666662</v>
      </c>
      <c r="F37" s="137">
        <f t="shared" si="4"/>
        <v>81.426666666666662</v>
      </c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.75" customHeight="1">
      <c r="A38" s="112"/>
      <c r="B38" s="270" t="s">
        <v>344</v>
      </c>
      <c r="C38" s="268"/>
      <c r="D38" s="268"/>
      <c r="E38" s="210"/>
      <c r="F38" s="138">
        <f>F29+F30+F31+F32+F33+F34+F35+F36+F37</f>
        <v>1818.04</v>
      </c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.75" customHeight="1">
      <c r="A39" s="112"/>
      <c r="B39" s="269" t="s">
        <v>345</v>
      </c>
      <c r="C39" s="268"/>
      <c r="D39" s="268"/>
      <c r="E39" s="210"/>
      <c r="F39" s="139">
        <f>F38/12</f>
        <v>151.50333333333333</v>
      </c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.75" customHeight="1">
      <c r="A41" s="112"/>
      <c r="B41" s="267" t="s">
        <v>348</v>
      </c>
      <c r="C41" s="268"/>
      <c r="D41" s="268"/>
      <c r="E41" s="268"/>
      <c r="F41" s="210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.75" customHeight="1">
      <c r="A42" s="112"/>
      <c r="B42" s="269" t="s">
        <v>283</v>
      </c>
      <c r="C42" s="268"/>
      <c r="D42" s="268"/>
      <c r="E42" s="268"/>
      <c r="F42" s="210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>
      <c r="A43" s="112"/>
      <c r="B43" s="131" t="s">
        <v>1</v>
      </c>
      <c r="C43" s="132" t="s">
        <v>338</v>
      </c>
      <c r="D43" s="132" t="s">
        <v>5</v>
      </c>
      <c r="E43" s="132" t="s">
        <v>4</v>
      </c>
      <c r="F43" s="132" t="s">
        <v>339</v>
      </c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5.75" customHeight="1">
      <c r="A44" s="112"/>
      <c r="B44" s="133">
        <v>1</v>
      </c>
      <c r="C44" s="134" t="s">
        <v>367</v>
      </c>
      <c r="D44" s="135">
        <v>2</v>
      </c>
      <c r="E44" s="136">
        <f>(269.9+223.48+187.35)/3</f>
        <v>226.91</v>
      </c>
      <c r="F44" s="137">
        <f t="shared" ref="F44:F46" si="5">E44*D44</f>
        <v>453.82</v>
      </c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.75" customHeight="1">
      <c r="A45" s="112"/>
      <c r="B45" s="133">
        <v>2</v>
      </c>
      <c r="C45" s="134" t="s">
        <v>365</v>
      </c>
      <c r="D45" s="135">
        <v>3</v>
      </c>
      <c r="E45" s="136">
        <f>E36</f>
        <v>109.55333333333334</v>
      </c>
      <c r="F45" s="137">
        <f t="shared" si="5"/>
        <v>328.66</v>
      </c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.75" customHeight="1">
      <c r="A46" s="112"/>
      <c r="B46" s="133">
        <v>3</v>
      </c>
      <c r="C46" s="134" t="s">
        <v>356</v>
      </c>
      <c r="D46" s="135">
        <v>2</v>
      </c>
      <c r="E46" s="136">
        <f>E33</f>
        <v>8.5566666666666666</v>
      </c>
      <c r="F46" s="137">
        <f t="shared" si="5"/>
        <v>17.113333333333333</v>
      </c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.75" customHeight="1">
      <c r="A47" s="112"/>
      <c r="B47" s="270" t="s">
        <v>344</v>
      </c>
      <c r="C47" s="268"/>
      <c r="D47" s="268"/>
      <c r="E47" s="210"/>
      <c r="F47" s="138">
        <f>F44+F45+F46</f>
        <v>799.59333333333336</v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.75" customHeight="1">
      <c r="A48" s="112"/>
      <c r="B48" s="269" t="s">
        <v>345</v>
      </c>
      <c r="C48" s="268"/>
      <c r="D48" s="268"/>
      <c r="E48" s="210"/>
      <c r="F48" s="139">
        <f>F47/12</f>
        <v>66.632777777777775</v>
      </c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>
      <c r="A50" s="112"/>
      <c r="B50" s="267" t="s">
        <v>348</v>
      </c>
      <c r="C50" s="268"/>
      <c r="D50" s="268"/>
      <c r="E50" s="268"/>
      <c r="F50" s="210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>
      <c r="A51" s="112"/>
      <c r="B51" s="269" t="s">
        <v>272</v>
      </c>
      <c r="C51" s="268"/>
      <c r="D51" s="268"/>
      <c r="E51" s="268"/>
      <c r="F51" s="210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.75" customHeight="1">
      <c r="A52" s="112"/>
      <c r="B52" s="131" t="s">
        <v>1</v>
      </c>
      <c r="C52" s="132" t="s">
        <v>338</v>
      </c>
      <c r="D52" s="132" t="s">
        <v>5</v>
      </c>
      <c r="E52" s="132" t="s">
        <v>4</v>
      </c>
      <c r="F52" s="132" t="s">
        <v>339</v>
      </c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.75" customHeight="1">
      <c r="A53" s="112"/>
      <c r="B53" s="133">
        <v>1</v>
      </c>
      <c r="C53" s="134" t="s">
        <v>368</v>
      </c>
      <c r="D53" s="135">
        <v>2</v>
      </c>
      <c r="E53" s="136">
        <f>E17</f>
        <v>95.335000000000008</v>
      </c>
      <c r="F53" s="137">
        <f t="shared" ref="F53:F56" si="6">E53*D53</f>
        <v>190.67000000000002</v>
      </c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.75" customHeight="1">
      <c r="A54" s="112"/>
      <c r="B54" s="133">
        <v>2</v>
      </c>
      <c r="C54" s="134" t="s">
        <v>357</v>
      </c>
      <c r="D54" s="135">
        <v>24</v>
      </c>
      <c r="E54" s="136">
        <f>E7</f>
        <v>6.43</v>
      </c>
      <c r="F54" s="137">
        <f t="shared" si="6"/>
        <v>154.32</v>
      </c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.75" customHeight="1">
      <c r="A55" s="112"/>
      <c r="B55" s="133">
        <v>3</v>
      </c>
      <c r="C55" s="134" t="s">
        <v>369</v>
      </c>
      <c r="D55" s="135">
        <v>6</v>
      </c>
      <c r="E55" s="136">
        <f t="shared" ref="E55:E56" si="7">E45</f>
        <v>109.55333333333334</v>
      </c>
      <c r="F55" s="137">
        <f t="shared" si="6"/>
        <v>657.32</v>
      </c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.75" customHeight="1">
      <c r="A56" s="112"/>
      <c r="B56" s="133">
        <v>4</v>
      </c>
      <c r="C56" s="134" t="s">
        <v>356</v>
      </c>
      <c r="D56" s="135">
        <v>3</v>
      </c>
      <c r="E56" s="136">
        <f t="shared" si="7"/>
        <v>8.5566666666666666</v>
      </c>
      <c r="F56" s="137">
        <f t="shared" si="6"/>
        <v>25.67</v>
      </c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>
      <c r="A57" s="112"/>
      <c r="B57" s="270" t="s">
        <v>344</v>
      </c>
      <c r="C57" s="268"/>
      <c r="D57" s="268"/>
      <c r="E57" s="210"/>
      <c r="F57" s="138">
        <f>F53+F54+F55+F56</f>
        <v>1027.98</v>
      </c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5.75" customHeight="1">
      <c r="A58" s="112"/>
      <c r="B58" s="269" t="s">
        <v>345</v>
      </c>
      <c r="C58" s="268"/>
      <c r="D58" s="268"/>
      <c r="E58" s="210"/>
      <c r="F58" s="139">
        <f>F57/12</f>
        <v>85.665000000000006</v>
      </c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.75" customHeight="1">
      <c r="A60" s="112"/>
      <c r="B60" s="267" t="s">
        <v>348</v>
      </c>
      <c r="C60" s="268"/>
      <c r="D60" s="268"/>
      <c r="E60" s="268"/>
      <c r="F60" s="210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.75" customHeight="1">
      <c r="A61" s="112"/>
      <c r="B61" s="269" t="s">
        <v>276</v>
      </c>
      <c r="C61" s="268"/>
      <c r="D61" s="268"/>
      <c r="E61" s="268"/>
      <c r="F61" s="210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.75" customHeight="1">
      <c r="A62" s="112"/>
      <c r="B62" s="131" t="s">
        <v>1</v>
      </c>
      <c r="C62" s="132" t="s">
        <v>338</v>
      </c>
      <c r="D62" s="132" t="s">
        <v>5</v>
      </c>
      <c r="E62" s="132" t="s">
        <v>4</v>
      </c>
      <c r="F62" s="132" t="s">
        <v>339</v>
      </c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.75" customHeight="1">
      <c r="A63" s="112"/>
      <c r="B63" s="133">
        <v>1</v>
      </c>
      <c r="C63" s="134" t="s">
        <v>370</v>
      </c>
      <c r="D63" s="135">
        <v>2</v>
      </c>
      <c r="E63" s="136">
        <f>(3.9+4.05+3.96)/3</f>
        <v>3.97</v>
      </c>
      <c r="F63" s="137">
        <f t="shared" ref="F63:F67" si="8">E63*D63</f>
        <v>7.94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>
      <c r="A64" s="112"/>
      <c r="B64" s="133">
        <v>2</v>
      </c>
      <c r="C64" s="134" t="s">
        <v>371</v>
      </c>
      <c r="D64" s="135">
        <v>1</v>
      </c>
      <c r="E64" s="136">
        <f>(13.09+13.46+15.46)/3</f>
        <v>14.003333333333336</v>
      </c>
      <c r="F64" s="137">
        <f t="shared" si="8"/>
        <v>14.003333333333336</v>
      </c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>
      <c r="A65" s="112"/>
      <c r="B65" s="133">
        <v>3</v>
      </c>
      <c r="C65" s="134" t="s">
        <v>369</v>
      </c>
      <c r="D65" s="135">
        <v>6</v>
      </c>
      <c r="E65" s="136">
        <f>E55</f>
        <v>109.55333333333334</v>
      </c>
      <c r="F65" s="137">
        <f t="shared" si="8"/>
        <v>657.32</v>
      </c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.75" customHeight="1">
      <c r="A66" s="112"/>
      <c r="B66" s="133">
        <v>4</v>
      </c>
      <c r="C66" s="134" t="s">
        <v>372</v>
      </c>
      <c r="D66" s="135">
        <v>2</v>
      </c>
      <c r="E66" s="136">
        <v>110.9</v>
      </c>
      <c r="F66" s="137">
        <f t="shared" si="8"/>
        <v>221.8</v>
      </c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.75" customHeight="1">
      <c r="A67" s="112"/>
      <c r="B67" s="133">
        <v>5</v>
      </c>
      <c r="C67" s="134" t="s">
        <v>356</v>
      </c>
      <c r="D67" s="135">
        <v>2</v>
      </c>
      <c r="E67" s="136">
        <f>E56</f>
        <v>8.5566666666666666</v>
      </c>
      <c r="F67" s="137">
        <f t="shared" si="8"/>
        <v>17.113333333333333</v>
      </c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.75" customHeight="1">
      <c r="A68" s="112"/>
      <c r="B68" s="270" t="s">
        <v>344</v>
      </c>
      <c r="C68" s="268"/>
      <c r="D68" s="268"/>
      <c r="E68" s="210"/>
      <c r="F68" s="138">
        <f>F63+F64+F65+F66+F67</f>
        <v>918.17666666666685</v>
      </c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.75" customHeight="1">
      <c r="A69" s="112"/>
      <c r="B69" s="269" t="s">
        <v>345</v>
      </c>
      <c r="C69" s="268"/>
      <c r="D69" s="268"/>
      <c r="E69" s="210"/>
      <c r="F69" s="139">
        <f>F68/12</f>
        <v>76.514722222222233</v>
      </c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>
      <c r="A71" s="112"/>
      <c r="B71" s="267" t="s">
        <v>348</v>
      </c>
      <c r="C71" s="268"/>
      <c r="D71" s="268"/>
      <c r="E71" s="268"/>
      <c r="F71" s="210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 customHeight="1">
      <c r="A72" s="112"/>
      <c r="B72" s="269" t="s">
        <v>373</v>
      </c>
      <c r="C72" s="268"/>
      <c r="D72" s="268"/>
      <c r="E72" s="268"/>
      <c r="F72" s="210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 customHeight="1">
      <c r="A73" s="112"/>
      <c r="B73" s="131" t="s">
        <v>1</v>
      </c>
      <c r="C73" s="132" t="s">
        <v>338</v>
      </c>
      <c r="D73" s="132" t="s">
        <v>5</v>
      </c>
      <c r="E73" s="132" t="s">
        <v>4</v>
      </c>
      <c r="F73" s="132" t="s">
        <v>339</v>
      </c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 customHeight="1">
      <c r="A74" s="112"/>
      <c r="B74" s="133">
        <v>1</v>
      </c>
      <c r="C74" s="134" t="s">
        <v>374</v>
      </c>
      <c r="D74" s="135">
        <v>4</v>
      </c>
      <c r="E74" s="136">
        <f>(50.83+52.08)/2</f>
        <v>51.454999999999998</v>
      </c>
      <c r="F74" s="137">
        <f t="shared" ref="F74:F75" si="9">E74*D74</f>
        <v>205.82</v>
      </c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 customHeight="1">
      <c r="A75" s="112"/>
      <c r="B75" s="133">
        <v>2</v>
      </c>
      <c r="C75" s="134" t="s">
        <v>375</v>
      </c>
      <c r="D75" s="135">
        <v>2</v>
      </c>
      <c r="E75" s="136">
        <f>(69.9+69.9+95.62)/3</f>
        <v>78.473333333333343</v>
      </c>
      <c r="F75" s="137">
        <f t="shared" si="9"/>
        <v>156.94666666666669</v>
      </c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 customHeight="1">
      <c r="A76" s="112"/>
      <c r="B76" s="270" t="s">
        <v>344</v>
      </c>
      <c r="C76" s="268"/>
      <c r="D76" s="268"/>
      <c r="E76" s="210"/>
      <c r="F76" s="138">
        <f>F74+F75</f>
        <v>362.76666666666665</v>
      </c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 customHeight="1">
      <c r="A77" s="112"/>
      <c r="B77" s="269" t="s">
        <v>345</v>
      </c>
      <c r="C77" s="268"/>
      <c r="D77" s="268"/>
      <c r="E77" s="210"/>
      <c r="F77" s="139">
        <f>F76/12</f>
        <v>30.230555555555554</v>
      </c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>
      <c r="A79" s="112"/>
      <c r="B79" s="267" t="s">
        <v>348</v>
      </c>
      <c r="C79" s="268"/>
      <c r="D79" s="268"/>
      <c r="E79" s="268"/>
      <c r="F79" s="210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.75" customHeight="1">
      <c r="A80" s="112"/>
      <c r="B80" s="269" t="s">
        <v>280</v>
      </c>
      <c r="C80" s="268"/>
      <c r="D80" s="268"/>
      <c r="E80" s="268"/>
      <c r="F80" s="210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.75" customHeight="1">
      <c r="A81" s="112"/>
      <c r="B81" s="131" t="s">
        <v>1</v>
      </c>
      <c r="C81" s="132" t="s">
        <v>338</v>
      </c>
      <c r="D81" s="132" t="s">
        <v>5</v>
      </c>
      <c r="E81" s="132" t="s">
        <v>4</v>
      </c>
      <c r="F81" s="132" t="s">
        <v>339</v>
      </c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.75" customHeight="1">
      <c r="A82" s="112"/>
      <c r="B82" s="133">
        <v>1</v>
      </c>
      <c r="C82" s="134" t="s">
        <v>372</v>
      </c>
      <c r="D82" s="135">
        <v>2</v>
      </c>
      <c r="E82" s="136">
        <f t="shared" ref="E82:E83" si="10">E66</f>
        <v>110.9</v>
      </c>
      <c r="F82" s="137">
        <f t="shared" ref="F82:F87" si="11">E82*D82</f>
        <v>221.8</v>
      </c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.75" customHeight="1">
      <c r="A83" s="112"/>
      <c r="B83" s="133">
        <v>2</v>
      </c>
      <c r="C83" s="134" t="s">
        <v>356</v>
      </c>
      <c r="D83" s="135">
        <v>2</v>
      </c>
      <c r="E83" s="136">
        <f t="shared" si="10"/>
        <v>8.5566666666666666</v>
      </c>
      <c r="F83" s="137">
        <f t="shared" si="11"/>
        <v>17.113333333333333</v>
      </c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5.75" customHeight="1">
      <c r="A84" s="112"/>
      <c r="B84" s="133">
        <v>3</v>
      </c>
      <c r="C84" s="134" t="s">
        <v>357</v>
      </c>
      <c r="D84" s="135">
        <v>24</v>
      </c>
      <c r="E84" s="136">
        <f>E54</f>
        <v>6.43</v>
      </c>
      <c r="F84" s="137">
        <f t="shared" si="11"/>
        <v>154.32</v>
      </c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>
      <c r="A85" s="112"/>
      <c r="B85" s="133">
        <v>4</v>
      </c>
      <c r="C85" s="134" t="s">
        <v>376</v>
      </c>
      <c r="D85" s="135">
        <v>4</v>
      </c>
      <c r="E85" s="136">
        <f>(3.9+4.05+3.96)/3</f>
        <v>3.97</v>
      </c>
      <c r="F85" s="137">
        <f t="shared" si="11"/>
        <v>15.88</v>
      </c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>
      <c r="A86" s="112"/>
      <c r="B86" s="133"/>
      <c r="C86" s="134" t="s">
        <v>377</v>
      </c>
      <c r="D86" s="135">
        <v>24</v>
      </c>
      <c r="E86" s="136">
        <f>(7.4+7.89)/2</f>
        <v>7.6449999999999996</v>
      </c>
      <c r="F86" s="137">
        <f t="shared" si="11"/>
        <v>183.48</v>
      </c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>
      <c r="A87" s="112"/>
      <c r="B87" s="133">
        <v>5</v>
      </c>
      <c r="C87" s="134" t="s">
        <v>378</v>
      </c>
      <c r="D87" s="135">
        <v>12</v>
      </c>
      <c r="E87" s="136">
        <f>(3.4+4.62)/2</f>
        <v>4.01</v>
      </c>
      <c r="F87" s="137">
        <f t="shared" si="11"/>
        <v>48.12</v>
      </c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>
      <c r="A88" s="112"/>
      <c r="B88" s="270" t="s">
        <v>344</v>
      </c>
      <c r="C88" s="268"/>
      <c r="D88" s="268"/>
      <c r="E88" s="210"/>
      <c r="F88" s="138">
        <f>F82+F83+F84+F85+F86+F87</f>
        <v>640.71333333333337</v>
      </c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>
      <c r="A89" s="112"/>
      <c r="B89" s="269" t="s">
        <v>345</v>
      </c>
      <c r="C89" s="268"/>
      <c r="D89" s="268"/>
      <c r="E89" s="210"/>
      <c r="F89" s="139">
        <f>F88/12</f>
        <v>53.392777777777781</v>
      </c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5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32">
    <mergeCell ref="B60:F60"/>
    <mergeCell ref="B79:F79"/>
    <mergeCell ref="B80:F80"/>
    <mergeCell ref="B88:E88"/>
    <mergeCell ref="B89:E89"/>
    <mergeCell ref="B61:F61"/>
    <mergeCell ref="B68:E68"/>
    <mergeCell ref="B69:E69"/>
    <mergeCell ref="B71:F71"/>
    <mergeCell ref="B72:F72"/>
    <mergeCell ref="B76:E76"/>
    <mergeCell ref="B77:E77"/>
    <mergeCell ref="B48:E48"/>
    <mergeCell ref="B50:F50"/>
    <mergeCell ref="B51:F51"/>
    <mergeCell ref="B57:E57"/>
    <mergeCell ref="B58:E58"/>
    <mergeCell ref="B38:E38"/>
    <mergeCell ref="B39:E39"/>
    <mergeCell ref="B41:F41"/>
    <mergeCell ref="B42:F42"/>
    <mergeCell ref="B47:E47"/>
    <mergeCell ref="B14:F14"/>
    <mergeCell ref="B23:E23"/>
    <mergeCell ref="B24:E24"/>
    <mergeCell ref="B26:F26"/>
    <mergeCell ref="B27:F27"/>
    <mergeCell ref="B2:F2"/>
    <mergeCell ref="B3:F3"/>
    <mergeCell ref="B10:E10"/>
    <mergeCell ref="B11:E11"/>
    <mergeCell ref="B13:F13"/>
  </mergeCells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2" width="9.140625" customWidth="1"/>
    <col min="3" max="3" width="23.5703125" customWidth="1"/>
    <col min="4" max="4" width="9.140625" customWidth="1"/>
    <col min="5" max="5" width="11.7109375" customWidth="1"/>
    <col min="6" max="6" width="13.140625" customWidth="1"/>
    <col min="7" max="7" width="18.85546875" customWidth="1"/>
    <col min="8" max="13" width="9.140625" customWidth="1"/>
    <col min="14" max="26" width="8.7109375" customWidth="1"/>
  </cols>
  <sheetData>
    <row r="1" spans="1:26">
      <c r="A1" s="112"/>
      <c r="B1" s="112"/>
      <c r="C1" s="112"/>
      <c r="D1" s="112"/>
      <c r="E1" s="130"/>
      <c r="F1" s="130"/>
      <c r="G1" s="130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5.75" customHeight="1">
      <c r="A2" s="112"/>
      <c r="B2" s="271" t="s">
        <v>379</v>
      </c>
      <c r="C2" s="169"/>
      <c r="D2" s="169"/>
      <c r="E2" s="169"/>
      <c r="F2" s="169"/>
      <c r="G2" s="273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15.75" customHeight="1">
      <c r="A3" s="112"/>
      <c r="B3" s="272" t="s">
        <v>359</v>
      </c>
      <c r="C3" s="169"/>
      <c r="D3" s="169"/>
      <c r="E3" s="169"/>
      <c r="F3" s="169"/>
      <c r="G3" s="273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69" customHeight="1">
      <c r="A4" s="112"/>
      <c r="B4" s="131" t="s">
        <v>1</v>
      </c>
      <c r="C4" s="132" t="s">
        <v>338</v>
      </c>
      <c r="D4" s="132" t="s">
        <v>380</v>
      </c>
      <c r="E4" s="132" t="s">
        <v>4</v>
      </c>
      <c r="F4" s="132" t="s">
        <v>339</v>
      </c>
      <c r="G4" s="132" t="s">
        <v>381</v>
      </c>
      <c r="H4" s="112"/>
      <c r="I4" s="112"/>
      <c r="J4" s="112"/>
      <c r="K4" s="112"/>
      <c r="L4" s="112"/>
      <c r="M4" s="143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>
      <c r="A5" s="112"/>
      <c r="B5" s="144">
        <v>1</v>
      </c>
      <c r="C5" s="145" t="s">
        <v>382</v>
      </c>
      <c r="D5" s="146">
        <v>10</v>
      </c>
      <c r="E5" s="147">
        <f>(2599+3779+2655.44)/3</f>
        <v>3011.146666666667</v>
      </c>
      <c r="F5" s="147">
        <f t="shared" ref="F5:F37" si="0">E5*D5</f>
        <v>30111.466666666671</v>
      </c>
      <c r="G5" s="147">
        <f t="shared" ref="G5:G37" si="1">F5/5</f>
        <v>6022.293333333334</v>
      </c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>
      <c r="A6" s="112"/>
      <c r="B6" s="144">
        <v>2</v>
      </c>
      <c r="C6" s="145" t="s">
        <v>383</v>
      </c>
      <c r="D6" s="146">
        <v>2</v>
      </c>
      <c r="E6" s="147">
        <f>(1102.7+1139.9+1529)/3</f>
        <v>1257.2</v>
      </c>
      <c r="F6" s="147">
        <f t="shared" si="0"/>
        <v>2514.4</v>
      </c>
      <c r="G6" s="147">
        <f t="shared" si="1"/>
        <v>502.88</v>
      </c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>
      <c r="A7" s="112"/>
      <c r="B7" s="144">
        <v>3</v>
      </c>
      <c r="C7" s="145" t="s">
        <v>384</v>
      </c>
      <c r="D7" s="146">
        <v>4</v>
      </c>
      <c r="E7" s="147">
        <f>(20.9+20.9+24.47)</f>
        <v>66.27</v>
      </c>
      <c r="F7" s="147">
        <f t="shared" si="0"/>
        <v>265.08</v>
      </c>
      <c r="G7" s="147">
        <f t="shared" si="1"/>
        <v>53.015999999999998</v>
      </c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>
      <c r="A8" s="112"/>
      <c r="B8" s="144">
        <v>4</v>
      </c>
      <c r="C8" s="145" t="s">
        <v>385</v>
      </c>
      <c r="D8" s="146">
        <v>10</v>
      </c>
      <c r="E8" s="147">
        <f>E7</f>
        <v>66.27</v>
      </c>
      <c r="F8" s="147">
        <f t="shared" si="0"/>
        <v>662.69999999999993</v>
      </c>
      <c r="G8" s="147">
        <f t="shared" si="1"/>
        <v>132.54</v>
      </c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>
      <c r="A9" s="112"/>
      <c r="B9" s="144">
        <v>5</v>
      </c>
      <c r="C9" s="145" t="s">
        <v>386</v>
      </c>
      <c r="D9" s="146">
        <v>6</v>
      </c>
      <c r="E9" s="147">
        <f>(50.9+65.7+75.45)/3</f>
        <v>64.016666666666666</v>
      </c>
      <c r="F9" s="147">
        <f t="shared" si="0"/>
        <v>384.1</v>
      </c>
      <c r="G9" s="147">
        <f t="shared" si="1"/>
        <v>76.820000000000007</v>
      </c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>
      <c r="A10" s="112"/>
      <c r="B10" s="144">
        <v>6</v>
      </c>
      <c r="C10" s="145" t="s">
        <v>387</v>
      </c>
      <c r="D10" s="146">
        <v>4</v>
      </c>
      <c r="E10" s="147">
        <f>(80.91+82.58+80.5)/3</f>
        <v>81.33</v>
      </c>
      <c r="F10" s="147">
        <f t="shared" si="0"/>
        <v>325.32</v>
      </c>
      <c r="G10" s="147">
        <f t="shared" si="1"/>
        <v>65.063999999999993</v>
      </c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>
      <c r="A11" s="112"/>
      <c r="B11" s="144">
        <v>7</v>
      </c>
      <c r="C11" s="145" t="s">
        <v>388</v>
      </c>
      <c r="D11" s="146">
        <v>6</v>
      </c>
      <c r="E11" s="147">
        <f>(60.97+79.89+69.99)/3</f>
        <v>70.283333333333346</v>
      </c>
      <c r="F11" s="147">
        <f t="shared" si="0"/>
        <v>421.70000000000005</v>
      </c>
      <c r="G11" s="147">
        <f t="shared" si="1"/>
        <v>84.34</v>
      </c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>
      <c r="A12" s="112"/>
      <c r="B12" s="144">
        <v>8</v>
      </c>
      <c r="C12" s="145" t="s">
        <v>389</v>
      </c>
      <c r="D12" s="146">
        <v>10</v>
      </c>
      <c r="E12" s="147">
        <f>(69.33+85.41+64.72)/3</f>
        <v>73.153333333333336</v>
      </c>
      <c r="F12" s="147">
        <f t="shared" si="0"/>
        <v>731.5333333333333</v>
      </c>
      <c r="G12" s="147">
        <f t="shared" si="1"/>
        <v>146.30666666666667</v>
      </c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>
      <c r="A13" s="112"/>
      <c r="B13" s="144">
        <v>9</v>
      </c>
      <c r="C13" s="145" t="s">
        <v>390</v>
      </c>
      <c r="D13" s="146">
        <v>5</v>
      </c>
      <c r="E13" s="147">
        <f>(40.93+59.8+48.72)/3</f>
        <v>49.816666666666663</v>
      </c>
      <c r="F13" s="147">
        <f t="shared" si="0"/>
        <v>249.08333333333331</v>
      </c>
      <c r="G13" s="147">
        <f t="shared" si="1"/>
        <v>49.816666666666663</v>
      </c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>
      <c r="A14" s="112"/>
      <c r="B14" s="144">
        <v>10</v>
      </c>
      <c r="C14" s="145" t="s">
        <v>391</v>
      </c>
      <c r="D14" s="146">
        <v>5</v>
      </c>
      <c r="E14" s="147">
        <f>(190.02+181+227.37)/3</f>
        <v>199.46333333333334</v>
      </c>
      <c r="F14" s="147">
        <f t="shared" si="0"/>
        <v>997.31666666666672</v>
      </c>
      <c r="G14" s="147">
        <f t="shared" si="1"/>
        <v>199.46333333333334</v>
      </c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>
      <c r="A15" s="112"/>
      <c r="B15" s="144">
        <v>11</v>
      </c>
      <c r="C15" s="145" t="s">
        <v>392</v>
      </c>
      <c r="D15" s="146">
        <v>6</v>
      </c>
      <c r="E15" s="147">
        <f>(261.25+249.49+229.29)/3</f>
        <v>246.67666666666665</v>
      </c>
      <c r="F15" s="147">
        <f t="shared" si="0"/>
        <v>1480.06</v>
      </c>
      <c r="G15" s="147">
        <f t="shared" si="1"/>
        <v>296.012</v>
      </c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>
      <c r="A16" s="112"/>
      <c r="B16" s="144">
        <v>12</v>
      </c>
      <c r="C16" s="145" t="s">
        <v>393</v>
      </c>
      <c r="D16" s="146">
        <v>10</v>
      </c>
      <c r="E16" s="147">
        <f>(186.9+121+174.02)/3</f>
        <v>160.63999999999999</v>
      </c>
      <c r="F16" s="147">
        <f t="shared" si="0"/>
        <v>1606.3999999999999</v>
      </c>
      <c r="G16" s="147">
        <f t="shared" si="1"/>
        <v>321.27999999999997</v>
      </c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>
      <c r="A17" s="112"/>
      <c r="B17" s="144">
        <v>13</v>
      </c>
      <c r="C17" s="145" t="s">
        <v>394</v>
      </c>
      <c r="D17" s="146">
        <v>4</v>
      </c>
      <c r="E17" s="147">
        <f>(60+66+44.33)/3</f>
        <v>56.776666666666664</v>
      </c>
      <c r="F17" s="147">
        <f t="shared" si="0"/>
        <v>227.10666666666665</v>
      </c>
      <c r="G17" s="147">
        <f t="shared" si="1"/>
        <v>45.42133333333333</v>
      </c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30">
      <c r="A18" s="112"/>
      <c r="B18" s="144">
        <v>14</v>
      </c>
      <c r="C18" s="145" t="s">
        <v>395</v>
      </c>
      <c r="D18" s="146">
        <v>4</v>
      </c>
      <c r="E18" s="147">
        <f>(24.9+33.22+25.56)/3</f>
        <v>27.893333333333331</v>
      </c>
      <c r="F18" s="147">
        <f t="shared" si="0"/>
        <v>111.57333333333332</v>
      </c>
      <c r="G18" s="147">
        <f t="shared" si="1"/>
        <v>22.314666666666664</v>
      </c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>
      <c r="A19" s="112"/>
      <c r="B19" s="144">
        <v>15</v>
      </c>
      <c r="C19" s="145" t="s">
        <v>396</v>
      </c>
      <c r="D19" s="146">
        <v>4</v>
      </c>
      <c r="E19" s="147">
        <f>(17.9+16.65+22.11)/3</f>
        <v>18.886666666666667</v>
      </c>
      <c r="F19" s="147">
        <f t="shared" si="0"/>
        <v>75.546666666666667</v>
      </c>
      <c r="G19" s="147">
        <f t="shared" si="1"/>
        <v>15.109333333333334</v>
      </c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>
      <c r="A20" s="112"/>
      <c r="B20" s="144">
        <v>16</v>
      </c>
      <c r="C20" s="145" t="s">
        <v>397</v>
      </c>
      <c r="D20" s="146">
        <v>2</v>
      </c>
      <c r="E20" s="147">
        <f>(1888.9+2199.9+1766.48)/3</f>
        <v>1951.7600000000002</v>
      </c>
      <c r="F20" s="147">
        <f t="shared" si="0"/>
        <v>3903.5200000000004</v>
      </c>
      <c r="G20" s="147">
        <f t="shared" si="1"/>
        <v>780.70400000000006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>
      <c r="A21" s="112"/>
      <c r="B21" s="144">
        <v>17</v>
      </c>
      <c r="C21" s="145" t="s">
        <v>398</v>
      </c>
      <c r="D21" s="146">
        <v>2</v>
      </c>
      <c r="E21" s="147">
        <f>(669.9+799.89+689.99)/3</f>
        <v>719.92666666666662</v>
      </c>
      <c r="F21" s="147">
        <f t="shared" si="0"/>
        <v>1439.8533333333332</v>
      </c>
      <c r="G21" s="147">
        <f t="shared" si="1"/>
        <v>287.97066666666666</v>
      </c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>
      <c r="A22" s="112"/>
      <c r="B22" s="144">
        <v>18</v>
      </c>
      <c r="C22" s="145" t="s">
        <v>399</v>
      </c>
      <c r="D22" s="146">
        <v>3</v>
      </c>
      <c r="E22" s="147">
        <f>(1200+1969)/2</f>
        <v>1584.5</v>
      </c>
      <c r="F22" s="147">
        <f t="shared" si="0"/>
        <v>4753.5</v>
      </c>
      <c r="G22" s="147">
        <f t="shared" si="1"/>
        <v>950.7</v>
      </c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5.75" customHeight="1">
      <c r="A23" s="112"/>
      <c r="B23" s="144">
        <v>19</v>
      </c>
      <c r="C23" s="145" t="s">
        <v>400</v>
      </c>
      <c r="D23" s="146">
        <v>4</v>
      </c>
      <c r="E23" s="147">
        <f>(332.92+436.05+383.92)</f>
        <v>1152.8900000000001</v>
      </c>
      <c r="F23" s="147">
        <f t="shared" si="0"/>
        <v>4611.5600000000004</v>
      </c>
      <c r="G23" s="147">
        <f t="shared" si="1"/>
        <v>922.31200000000013</v>
      </c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.75" customHeight="1">
      <c r="A24" s="112"/>
      <c r="B24" s="144">
        <v>20</v>
      </c>
      <c r="C24" s="145" t="s">
        <v>401</v>
      </c>
      <c r="D24" s="146">
        <v>10</v>
      </c>
      <c r="E24" s="147">
        <f>(24.9+39.9+33.22)/3</f>
        <v>32.673333333333332</v>
      </c>
      <c r="F24" s="147">
        <f t="shared" si="0"/>
        <v>326.73333333333335</v>
      </c>
      <c r="G24" s="147">
        <f t="shared" si="1"/>
        <v>65.346666666666664</v>
      </c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.75" customHeight="1">
      <c r="A25" s="112"/>
      <c r="B25" s="144">
        <v>21</v>
      </c>
      <c r="C25" s="145" t="s">
        <v>402</v>
      </c>
      <c r="D25" s="146">
        <v>2</v>
      </c>
      <c r="E25" s="147">
        <f>(319.7+276.66+449.89)/3</f>
        <v>348.75</v>
      </c>
      <c r="F25" s="147">
        <f t="shared" si="0"/>
        <v>697.5</v>
      </c>
      <c r="G25" s="147">
        <f t="shared" si="1"/>
        <v>139.5</v>
      </c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.75" customHeight="1">
      <c r="A26" s="112"/>
      <c r="B26" s="144">
        <v>22</v>
      </c>
      <c r="C26" s="145" t="s">
        <v>403</v>
      </c>
      <c r="D26" s="146">
        <v>5</v>
      </c>
      <c r="E26" s="147">
        <f>(122.24+152.02+122.4)/3</f>
        <v>132.22</v>
      </c>
      <c r="F26" s="147">
        <f t="shared" si="0"/>
        <v>661.1</v>
      </c>
      <c r="G26" s="147">
        <f t="shared" si="1"/>
        <v>132.22</v>
      </c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5.75" customHeight="1">
      <c r="A27" s="112"/>
      <c r="B27" s="144">
        <v>23</v>
      </c>
      <c r="C27" s="145" t="s">
        <v>404</v>
      </c>
      <c r="D27" s="146">
        <v>5</v>
      </c>
      <c r="E27" s="147">
        <f>(64.33+58+57.95)/3</f>
        <v>60.093333333333334</v>
      </c>
      <c r="F27" s="147">
        <f t="shared" si="0"/>
        <v>300.4666666666667</v>
      </c>
      <c r="G27" s="147">
        <f t="shared" si="1"/>
        <v>60.093333333333341</v>
      </c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>
      <c r="A28" s="112"/>
      <c r="B28" s="144">
        <v>24</v>
      </c>
      <c r="C28" s="145" t="s">
        <v>405</v>
      </c>
      <c r="D28" s="146">
        <v>5</v>
      </c>
      <c r="E28" s="147">
        <f>(79.9+89+79.9)/3</f>
        <v>82.933333333333337</v>
      </c>
      <c r="F28" s="147">
        <f t="shared" si="0"/>
        <v>414.66666666666669</v>
      </c>
      <c r="G28" s="147">
        <f t="shared" si="1"/>
        <v>82.933333333333337</v>
      </c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5.75" customHeight="1">
      <c r="A29" s="112"/>
      <c r="B29" s="144">
        <v>25</v>
      </c>
      <c r="C29" s="145" t="s">
        <v>406</v>
      </c>
      <c r="D29" s="146">
        <v>4</v>
      </c>
      <c r="E29" s="147">
        <f>(100.67+200.33+213.58)/3</f>
        <v>171.52666666666667</v>
      </c>
      <c r="F29" s="147">
        <f t="shared" si="0"/>
        <v>686.10666666666668</v>
      </c>
      <c r="G29" s="147">
        <f t="shared" si="1"/>
        <v>137.22133333333335</v>
      </c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.75" customHeight="1">
      <c r="A30" s="112"/>
      <c r="B30" s="144">
        <v>26</v>
      </c>
      <c r="C30" s="145" t="s">
        <v>407</v>
      </c>
      <c r="D30" s="146">
        <v>6</v>
      </c>
      <c r="E30" s="147">
        <f>(4834.56+4719+4363.23)/3</f>
        <v>4638.93</v>
      </c>
      <c r="F30" s="147">
        <f t="shared" si="0"/>
        <v>27833.58</v>
      </c>
      <c r="G30" s="147">
        <f t="shared" si="1"/>
        <v>5566.7160000000003</v>
      </c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.75" customHeight="1">
      <c r="A31" s="112"/>
      <c r="B31" s="144">
        <v>27</v>
      </c>
      <c r="C31" s="145" t="s">
        <v>408</v>
      </c>
      <c r="D31" s="146">
        <v>1</v>
      </c>
      <c r="E31" s="147">
        <f>(1673.71+1544.87+2273.74)/3</f>
        <v>1830.7733333333333</v>
      </c>
      <c r="F31" s="147">
        <f t="shared" si="0"/>
        <v>1830.7733333333333</v>
      </c>
      <c r="G31" s="147">
        <f t="shared" si="1"/>
        <v>366.15466666666669</v>
      </c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.75" customHeight="1">
      <c r="A32" s="112"/>
      <c r="B32" s="144">
        <v>28</v>
      </c>
      <c r="C32" s="145" t="s">
        <v>409</v>
      </c>
      <c r="D32" s="146">
        <v>4</v>
      </c>
      <c r="E32" s="147">
        <f>(1600+1080)/2</f>
        <v>1340</v>
      </c>
      <c r="F32" s="147">
        <f t="shared" si="0"/>
        <v>5360</v>
      </c>
      <c r="G32" s="147">
        <f t="shared" si="1"/>
        <v>1072</v>
      </c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.75" customHeight="1">
      <c r="A33" s="112"/>
      <c r="B33" s="144">
        <v>29</v>
      </c>
      <c r="C33" s="145" t="s">
        <v>410</v>
      </c>
      <c r="D33" s="146">
        <v>12</v>
      </c>
      <c r="E33" s="147">
        <f>(849+785+620)/3</f>
        <v>751.33333333333337</v>
      </c>
      <c r="F33" s="147">
        <f t="shared" si="0"/>
        <v>9016</v>
      </c>
      <c r="G33" s="147">
        <f t="shared" si="1"/>
        <v>1803.2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.75" customHeight="1">
      <c r="A34" s="112"/>
      <c r="B34" s="144">
        <v>30</v>
      </c>
      <c r="C34" s="145" t="s">
        <v>411</v>
      </c>
      <c r="D34" s="146">
        <v>2</v>
      </c>
      <c r="E34" s="147">
        <f>(3819+3819+3554.24)/3</f>
        <v>3730.7466666666664</v>
      </c>
      <c r="F34" s="147">
        <f t="shared" si="0"/>
        <v>7461.4933333333329</v>
      </c>
      <c r="G34" s="147">
        <f t="shared" si="1"/>
        <v>1492.2986666666666</v>
      </c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.75" customHeight="1">
      <c r="A35" s="112"/>
      <c r="B35" s="144">
        <v>31</v>
      </c>
      <c r="C35" s="145" t="s">
        <v>412</v>
      </c>
      <c r="D35" s="146">
        <v>1</v>
      </c>
      <c r="E35" s="147">
        <f>(58333.68+58333.68+52500.31)/3</f>
        <v>56389.223333333328</v>
      </c>
      <c r="F35" s="147">
        <f t="shared" si="0"/>
        <v>56389.223333333328</v>
      </c>
      <c r="G35" s="147">
        <f t="shared" si="1"/>
        <v>11277.844666666666</v>
      </c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>
      <c r="A36" s="112"/>
      <c r="B36" s="144">
        <v>32</v>
      </c>
      <c r="C36" s="145" t="s">
        <v>413</v>
      </c>
      <c r="D36" s="146">
        <v>3</v>
      </c>
      <c r="E36" s="147">
        <f>(683.85+877.67+670)/3</f>
        <v>743.84</v>
      </c>
      <c r="F36" s="147">
        <f t="shared" si="0"/>
        <v>2231.52</v>
      </c>
      <c r="G36" s="147">
        <f t="shared" si="1"/>
        <v>446.30399999999997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.75" customHeight="1">
      <c r="A37" s="112"/>
      <c r="B37" s="144">
        <v>33</v>
      </c>
      <c r="C37" s="145" t="s">
        <v>414</v>
      </c>
      <c r="D37" s="146">
        <v>2</v>
      </c>
      <c r="E37" s="147">
        <f>(1155.3+1159+1639)/3</f>
        <v>1317.7666666666667</v>
      </c>
      <c r="F37" s="147">
        <f t="shared" si="0"/>
        <v>2635.5333333333333</v>
      </c>
      <c r="G37" s="147">
        <f t="shared" si="1"/>
        <v>527.10666666666668</v>
      </c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.75" customHeight="1">
      <c r="A38" s="112"/>
      <c r="B38" s="270" t="s">
        <v>344</v>
      </c>
      <c r="C38" s="268"/>
      <c r="D38" s="268"/>
      <c r="E38" s="210"/>
      <c r="F38" s="148">
        <f t="shared" ref="F38:G38" si="2">SUM(F5:F37)</f>
        <v>170716.51666666663</v>
      </c>
      <c r="G38" s="149">
        <f t="shared" si="2"/>
        <v>34143.30333333333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.75" customHeight="1">
      <c r="A39" s="112"/>
      <c r="B39" s="269" t="s">
        <v>345</v>
      </c>
      <c r="C39" s="268"/>
      <c r="D39" s="268"/>
      <c r="E39" s="210"/>
      <c r="F39" s="150">
        <f t="shared" ref="F39:G39" si="3">F38/12</f>
        <v>14226.376388888886</v>
      </c>
      <c r="G39" s="150">
        <f t="shared" si="3"/>
        <v>2845.2752777777773</v>
      </c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.75" customHeight="1">
      <c r="A40" s="112"/>
      <c r="B40" s="269" t="s">
        <v>415</v>
      </c>
      <c r="C40" s="268"/>
      <c r="D40" s="268"/>
      <c r="E40" s="210"/>
      <c r="F40" s="150">
        <f t="shared" ref="F40:G40" si="4">F39/16</f>
        <v>889.14852430555538</v>
      </c>
      <c r="G40" s="150">
        <f t="shared" si="4"/>
        <v>177.82970486111108</v>
      </c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.75" customHeight="1">
      <c r="A41" s="112"/>
      <c r="B41" s="112"/>
      <c r="C41" s="112"/>
      <c r="D41" s="112"/>
      <c r="E41" s="130"/>
      <c r="F41" s="130"/>
      <c r="G41" s="130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.75" customHeight="1">
      <c r="A42" s="112"/>
      <c r="B42" s="271" t="s">
        <v>379</v>
      </c>
      <c r="C42" s="169"/>
      <c r="D42" s="169"/>
      <c r="E42" s="169"/>
      <c r="F42" s="169"/>
      <c r="G42" s="169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>
      <c r="A43" s="112"/>
      <c r="B43" s="272" t="s">
        <v>416</v>
      </c>
      <c r="C43" s="169"/>
      <c r="D43" s="169"/>
      <c r="E43" s="169"/>
      <c r="F43" s="169"/>
      <c r="G43" s="169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5.75" customHeight="1">
      <c r="A44" s="112"/>
      <c r="B44" s="131" t="s">
        <v>1</v>
      </c>
      <c r="C44" s="132" t="s">
        <v>338</v>
      </c>
      <c r="D44" s="132" t="s">
        <v>5</v>
      </c>
      <c r="E44" s="132" t="s">
        <v>4</v>
      </c>
      <c r="F44" s="132" t="s">
        <v>339</v>
      </c>
      <c r="G44" s="132" t="s">
        <v>381</v>
      </c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.75" customHeight="1">
      <c r="A45" s="112"/>
      <c r="B45" s="144">
        <v>1</v>
      </c>
      <c r="C45" s="145" t="s">
        <v>417</v>
      </c>
      <c r="D45" s="146">
        <v>100</v>
      </c>
      <c r="E45" s="147">
        <f>(489.9+519.32+540)/3</f>
        <v>516.40666666666664</v>
      </c>
      <c r="F45" s="151">
        <f t="shared" ref="F45:F48" si="5">E45*D45</f>
        <v>51640.666666666664</v>
      </c>
      <c r="G45" s="151">
        <f t="shared" ref="G45:G48" si="6">F45/5</f>
        <v>10328.133333333333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.75" customHeight="1">
      <c r="A46" s="112"/>
      <c r="B46" s="144">
        <v>2</v>
      </c>
      <c r="C46" s="145" t="s">
        <v>418</v>
      </c>
      <c r="D46" s="146">
        <v>100</v>
      </c>
      <c r="E46" s="147">
        <f>(123.95+139.9)/2</f>
        <v>131.92500000000001</v>
      </c>
      <c r="F46" s="151">
        <f t="shared" si="5"/>
        <v>13192.500000000002</v>
      </c>
      <c r="G46" s="151">
        <f t="shared" si="6"/>
        <v>2638.5000000000005</v>
      </c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.75" customHeight="1">
      <c r="A47" s="112"/>
      <c r="B47" s="144">
        <v>3</v>
      </c>
      <c r="C47" s="145" t="s">
        <v>419</v>
      </c>
      <c r="D47" s="146">
        <v>3</v>
      </c>
      <c r="E47" s="147">
        <f>(1911.58+2222.11+1985)/3</f>
        <v>2039.5633333333335</v>
      </c>
      <c r="F47" s="151">
        <f t="shared" si="5"/>
        <v>6118.6900000000005</v>
      </c>
      <c r="G47" s="151">
        <f t="shared" si="6"/>
        <v>1223.7380000000001</v>
      </c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.75" customHeight="1">
      <c r="A48" s="112"/>
      <c r="B48" s="144">
        <v>4</v>
      </c>
      <c r="C48" s="145" t="s">
        <v>420</v>
      </c>
      <c r="D48" s="146">
        <v>4</v>
      </c>
      <c r="E48" s="147">
        <f>(359+289.9+245)/3</f>
        <v>297.96666666666664</v>
      </c>
      <c r="F48" s="151">
        <f t="shared" si="5"/>
        <v>1191.8666666666666</v>
      </c>
      <c r="G48" s="151">
        <f t="shared" si="6"/>
        <v>238.37333333333331</v>
      </c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.75" customHeight="1">
      <c r="A49" s="112"/>
      <c r="B49" s="270" t="s">
        <v>344</v>
      </c>
      <c r="C49" s="268"/>
      <c r="D49" s="268"/>
      <c r="E49" s="210"/>
      <c r="F49" s="138">
        <f t="shared" ref="F49:G49" si="7">SUM(F45:F48)</f>
        <v>72143.723333333328</v>
      </c>
      <c r="G49" s="138">
        <f t="shared" si="7"/>
        <v>14428.744666666666</v>
      </c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>
      <c r="A50" s="112"/>
      <c r="B50" s="269" t="s">
        <v>345</v>
      </c>
      <c r="C50" s="268"/>
      <c r="D50" s="268"/>
      <c r="E50" s="210"/>
      <c r="F50" s="139">
        <f t="shared" ref="F50:G50" si="8">F49/12</f>
        <v>6011.9769444444437</v>
      </c>
      <c r="G50" s="139">
        <f t="shared" si="8"/>
        <v>1202.3953888888889</v>
      </c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>
      <c r="A51" s="112"/>
      <c r="B51" s="269" t="s">
        <v>415</v>
      </c>
      <c r="C51" s="268"/>
      <c r="D51" s="268"/>
      <c r="E51" s="210"/>
      <c r="F51" s="150">
        <f t="shared" ref="F51:G51" si="9">F50/85</f>
        <v>70.729140522875809</v>
      </c>
      <c r="G51" s="150">
        <f t="shared" si="9"/>
        <v>14.145828104575163</v>
      </c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.75" customHeight="1">
      <c r="A52" s="112"/>
      <c r="B52" s="112"/>
      <c r="C52" s="112"/>
      <c r="D52" s="112"/>
      <c r="E52" s="130"/>
      <c r="F52" s="130"/>
      <c r="G52" s="130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.75" customHeight="1">
      <c r="A53" s="112"/>
      <c r="B53" s="271" t="s">
        <v>421</v>
      </c>
      <c r="C53" s="169"/>
      <c r="D53" s="169"/>
      <c r="E53" s="169"/>
      <c r="F53" s="169"/>
      <c r="G53" s="169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.75" customHeight="1">
      <c r="A54" s="112"/>
      <c r="B54" s="272" t="s">
        <v>422</v>
      </c>
      <c r="C54" s="169"/>
      <c r="D54" s="169"/>
      <c r="E54" s="169"/>
      <c r="F54" s="169"/>
      <c r="G54" s="169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.75" customHeight="1">
      <c r="A55" s="112"/>
      <c r="B55" s="131" t="s">
        <v>1</v>
      </c>
      <c r="C55" s="132" t="s">
        <v>338</v>
      </c>
      <c r="D55" s="132" t="s">
        <v>5</v>
      </c>
      <c r="E55" s="132" t="s">
        <v>4</v>
      </c>
      <c r="F55" s="132" t="s">
        <v>339</v>
      </c>
      <c r="G55" s="132" t="s">
        <v>381</v>
      </c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.75" customHeight="1">
      <c r="A56" s="112"/>
      <c r="B56" s="144">
        <v>1</v>
      </c>
      <c r="C56" s="145" t="s">
        <v>423</v>
      </c>
      <c r="D56" s="146">
        <v>2</v>
      </c>
      <c r="E56" s="147">
        <v>1683.33</v>
      </c>
      <c r="F56" s="151">
        <f t="shared" ref="F56:F57" si="10">E56*D56</f>
        <v>3366.66</v>
      </c>
      <c r="G56" s="151">
        <f t="shared" ref="G56:G57" si="11">F56/5</f>
        <v>673.33199999999999</v>
      </c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>
      <c r="A57" s="112"/>
      <c r="B57" s="144">
        <v>2</v>
      </c>
      <c r="C57" s="145" t="s">
        <v>424</v>
      </c>
      <c r="D57" s="146">
        <v>1</v>
      </c>
      <c r="E57" s="147">
        <f>(13880+17719)/2</f>
        <v>15799.5</v>
      </c>
      <c r="F57" s="147">
        <f t="shared" si="10"/>
        <v>15799.5</v>
      </c>
      <c r="G57" s="147">
        <f t="shared" si="11"/>
        <v>3159.9</v>
      </c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5.75" customHeight="1">
      <c r="A58" s="112"/>
      <c r="B58" s="270" t="s">
        <v>344</v>
      </c>
      <c r="C58" s="268"/>
      <c r="D58" s="268"/>
      <c r="E58" s="210"/>
      <c r="F58" s="138">
        <f t="shared" ref="F58:G58" si="12">F56+F57</f>
        <v>19166.16</v>
      </c>
      <c r="G58" s="138">
        <f t="shared" si="12"/>
        <v>3833.232</v>
      </c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.75" customHeight="1">
      <c r="A59" s="112"/>
      <c r="B59" s="269" t="s">
        <v>345</v>
      </c>
      <c r="C59" s="268"/>
      <c r="D59" s="268"/>
      <c r="E59" s="210"/>
      <c r="F59" s="139">
        <f t="shared" ref="F59:G59" si="13">F58/12</f>
        <v>1597.18</v>
      </c>
      <c r="G59" s="139">
        <f t="shared" si="13"/>
        <v>319.43599999999998</v>
      </c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.75" customHeight="1">
      <c r="A60" s="112"/>
      <c r="B60" s="269" t="s">
        <v>415</v>
      </c>
      <c r="C60" s="268"/>
      <c r="D60" s="268"/>
      <c r="E60" s="210"/>
      <c r="F60" s="150">
        <f t="shared" ref="F60:G60" si="14">F59/126</f>
        <v>12.676031746031747</v>
      </c>
      <c r="G60" s="150">
        <f t="shared" si="14"/>
        <v>2.5352063492063492</v>
      </c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.75" customHeight="1">
      <c r="A61" s="112"/>
      <c r="B61" s="112"/>
      <c r="C61" s="112"/>
      <c r="D61" s="112"/>
      <c r="E61" s="130"/>
      <c r="F61" s="130"/>
      <c r="G61" s="130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.75" customHeight="1">
      <c r="A62" s="112"/>
      <c r="B62" s="112"/>
      <c r="C62" s="112"/>
      <c r="D62" s="112"/>
      <c r="E62" s="130"/>
      <c r="F62" s="130"/>
      <c r="G62" s="130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.75" customHeight="1">
      <c r="A63" s="112"/>
      <c r="B63" s="112"/>
      <c r="C63" s="112"/>
      <c r="D63" s="112"/>
      <c r="E63" s="130"/>
      <c r="F63" s="130"/>
      <c r="G63" s="130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>
      <c r="A64" s="112"/>
      <c r="B64" s="112"/>
      <c r="C64" s="112"/>
      <c r="D64" s="112"/>
      <c r="E64" s="130"/>
      <c r="F64" s="130"/>
      <c r="G64" s="130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>
      <c r="A65" s="112"/>
      <c r="B65" s="112"/>
      <c r="C65" s="112"/>
      <c r="D65" s="112"/>
      <c r="E65" s="130"/>
      <c r="F65" s="130"/>
      <c r="G65" s="130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.75" customHeight="1">
      <c r="A66" s="112"/>
      <c r="B66" s="112"/>
      <c r="C66" s="112"/>
      <c r="D66" s="112"/>
      <c r="E66" s="130"/>
      <c r="F66" s="130"/>
      <c r="G66" s="130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.75" customHeight="1">
      <c r="A67" s="112"/>
      <c r="B67" s="112"/>
      <c r="C67" s="112"/>
      <c r="D67" s="112"/>
      <c r="E67" s="130"/>
      <c r="F67" s="130"/>
      <c r="G67" s="130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.75" customHeight="1">
      <c r="A68" s="112"/>
      <c r="B68" s="112"/>
      <c r="C68" s="112"/>
      <c r="D68" s="112"/>
      <c r="E68" s="130"/>
      <c r="F68" s="130"/>
      <c r="G68" s="130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.75" customHeight="1">
      <c r="A69" s="112"/>
      <c r="B69" s="112"/>
      <c r="C69" s="112"/>
      <c r="D69" s="112"/>
      <c r="E69" s="130"/>
      <c r="F69" s="130"/>
      <c r="G69" s="130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.75" customHeight="1">
      <c r="A70" s="112"/>
      <c r="B70" s="112"/>
      <c r="C70" s="112"/>
      <c r="D70" s="112"/>
      <c r="E70" s="130"/>
      <c r="F70" s="130"/>
      <c r="G70" s="130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>
      <c r="A71" s="112"/>
      <c r="B71" s="112"/>
      <c r="C71" s="112"/>
      <c r="D71" s="112"/>
      <c r="E71" s="130"/>
      <c r="F71" s="130"/>
      <c r="G71" s="130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 customHeight="1">
      <c r="A72" s="112"/>
      <c r="B72" s="112"/>
      <c r="C72" s="112"/>
      <c r="D72" s="112"/>
      <c r="E72" s="130"/>
      <c r="F72" s="130"/>
      <c r="G72" s="130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 customHeight="1">
      <c r="A73" s="112"/>
      <c r="B73" s="112"/>
      <c r="C73" s="112"/>
      <c r="D73" s="112"/>
      <c r="E73" s="130"/>
      <c r="F73" s="130"/>
      <c r="G73" s="130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 customHeight="1">
      <c r="A74" s="112"/>
      <c r="B74" s="112"/>
      <c r="C74" s="112"/>
      <c r="D74" s="112"/>
      <c r="E74" s="130"/>
      <c r="F74" s="130"/>
      <c r="G74" s="130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 customHeight="1">
      <c r="A75" s="112"/>
      <c r="B75" s="112"/>
      <c r="C75" s="112"/>
      <c r="D75" s="112"/>
      <c r="E75" s="130"/>
      <c r="F75" s="130"/>
      <c r="G75" s="130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 customHeight="1">
      <c r="A76" s="112"/>
      <c r="B76" s="112"/>
      <c r="C76" s="112"/>
      <c r="D76" s="112"/>
      <c r="E76" s="130"/>
      <c r="F76" s="130"/>
      <c r="G76" s="130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 customHeight="1">
      <c r="A77" s="112"/>
      <c r="B77" s="112"/>
      <c r="C77" s="112"/>
      <c r="D77" s="112"/>
      <c r="E77" s="130"/>
      <c r="F77" s="130"/>
      <c r="G77" s="130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>
      <c r="A78" s="112"/>
      <c r="B78" s="112"/>
      <c r="C78" s="112"/>
      <c r="D78" s="112"/>
      <c r="E78" s="130"/>
      <c r="F78" s="130"/>
      <c r="G78" s="130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>
      <c r="A79" s="112"/>
      <c r="B79" s="112"/>
      <c r="C79" s="112"/>
      <c r="D79" s="112"/>
      <c r="E79" s="130"/>
      <c r="F79" s="130"/>
      <c r="G79" s="130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.75" customHeight="1">
      <c r="A80" s="112"/>
      <c r="B80" s="112"/>
      <c r="C80" s="112"/>
      <c r="D80" s="112"/>
      <c r="E80" s="130"/>
      <c r="F80" s="130"/>
      <c r="G80" s="130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.75" customHeight="1">
      <c r="A81" s="112"/>
      <c r="B81" s="112"/>
      <c r="C81" s="112"/>
      <c r="D81" s="112"/>
      <c r="E81" s="130"/>
      <c r="F81" s="130"/>
      <c r="G81" s="130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.75" customHeight="1">
      <c r="A82" s="112"/>
      <c r="B82" s="112"/>
      <c r="C82" s="112"/>
      <c r="D82" s="112"/>
      <c r="E82" s="130"/>
      <c r="F82" s="130"/>
      <c r="G82" s="130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.75" customHeight="1">
      <c r="A83" s="112"/>
      <c r="B83" s="112"/>
      <c r="C83" s="112"/>
      <c r="D83" s="112"/>
      <c r="E83" s="130"/>
      <c r="F83" s="130"/>
      <c r="G83" s="130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5.75" customHeight="1">
      <c r="A84" s="112"/>
      <c r="B84" s="112"/>
      <c r="C84" s="112"/>
      <c r="D84" s="112"/>
      <c r="E84" s="130"/>
      <c r="F84" s="130"/>
      <c r="G84" s="130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>
      <c r="A85" s="112"/>
      <c r="B85" s="112"/>
      <c r="C85" s="112"/>
      <c r="D85" s="112"/>
      <c r="E85" s="130"/>
      <c r="F85" s="130"/>
      <c r="G85" s="130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>
      <c r="A86" s="112"/>
      <c r="B86" s="112"/>
      <c r="C86" s="112"/>
      <c r="D86" s="112"/>
      <c r="E86" s="130"/>
      <c r="F86" s="130"/>
      <c r="G86" s="130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>
      <c r="A87" s="112"/>
      <c r="B87" s="112"/>
      <c r="C87" s="112"/>
      <c r="D87" s="112"/>
      <c r="E87" s="130"/>
      <c r="F87" s="130"/>
      <c r="G87" s="130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>
      <c r="A88" s="112"/>
      <c r="B88" s="112"/>
      <c r="C88" s="112"/>
      <c r="D88" s="112"/>
      <c r="E88" s="130"/>
      <c r="F88" s="130"/>
      <c r="G88" s="130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>
      <c r="A89" s="112"/>
      <c r="B89" s="112"/>
      <c r="C89" s="112"/>
      <c r="D89" s="112"/>
      <c r="E89" s="130"/>
      <c r="F89" s="130"/>
      <c r="G89" s="130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>
      <c r="A90" s="112"/>
      <c r="B90" s="112"/>
      <c r="C90" s="112"/>
      <c r="D90" s="112"/>
      <c r="E90" s="130"/>
      <c r="F90" s="130"/>
      <c r="G90" s="130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>
      <c r="A91" s="112"/>
      <c r="B91" s="112"/>
      <c r="C91" s="112"/>
      <c r="D91" s="112"/>
      <c r="E91" s="130"/>
      <c r="F91" s="130"/>
      <c r="G91" s="130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>
      <c r="A92" s="112"/>
      <c r="B92" s="112"/>
      <c r="C92" s="112"/>
      <c r="D92" s="112"/>
      <c r="E92" s="130"/>
      <c r="F92" s="130"/>
      <c r="G92" s="130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>
      <c r="A93" s="112"/>
      <c r="B93" s="112"/>
      <c r="C93" s="112"/>
      <c r="D93" s="112"/>
      <c r="E93" s="130"/>
      <c r="F93" s="130"/>
      <c r="G93" s="130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>
      <c r="A94" s="112"/>
      <c r="B94" s="112"/>
      <c r="C94" s="112"/>
      <c r="D94" s="112"/>
      <c r="E94" s="130"/>
      <c r="F94" s="130"/>
      <c r="G94" s="130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>
      <c r="A95" s="112"/>
      <c r="B95" s="112"/>
      <c r="C95" s="112"/>
      <c r="D95" s="112"/>
      <c r="E95" s="130"/>
      <c r="F95" s="130"/>
      <c r="G95" s="130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>
      <c r="A96" s="112"/>
      <c r="B96" s="112"/>
      <c r="C96" s="112"/>
      <c r="D96" s="112"/>
      <c r="E96" s="130"/>
      <c r="F96" s="130"/>
      <c r="G96" s="130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>
      <c r="A97" s="112"/>
      <c r="B97" s="112"/>
      <c r="C97" s="112"/>
      <c r="D97" s="112"/>
      <c r="E97" s="130"/>
      <c r="F97" s="130"/>
      <c r="G97" s="130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>
      <c r="A98" s="112"/>
      <c r="B98" s="112"/>
      <c r="C98" s="112"/>
      <c r="D98" s="112"/>
      <c r="E98" s="130"/>
      <c r="F98" s="130"/>
      <c r="G98" s="130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>
      <c r="A99" s="112"/>
      <c r="B99" s="112"/>
      <c r="C99" s="112"/>
      <c r="D99" s="112"/>
      <c r="E99" s="130"/>
      <c r="F99" s="130"/>
      <c r="G99" s="130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>
      <c r="A100" s="112"/>
      <c r="B100" s="112"/>
      <c r="C100" s="112"/>
      <c r="D100" s="112"/>
      <c r="E100" s="130"/>
      <c r="F100" s="130"/>
      <c r="G100" s="130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>
      <c r="A101" s="112"/>
      <c r="B101" s="112"/>
      <c r="C101" s="112"/>
      <c r="D101" s="112"/>
      <c r="E101" s="130"/>
      <c r="F101" s="130"/>
      <c r="G101" s="130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>
      <c r="A102" s="112"/>
      <c r="B102" s="112"/>
      <c r="C102" s="112"/>
      <c r="D102" s="112"/>
      <c r="E102" s="130"/>
      <c r="F102" s="130"/>
      <c r="G102" s="130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>
      <c r="A103" s="112"/>
      <c r="B103" s="112"/>
      <c r="C103" s="112"/>
      <c r="D103" s="112"/>
      <c r="E103" s="130"/>
      <c r="F103" s="130"/>
      <c r="G103" s="130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>
      <c r="A104" s="112"/>
      <c r="B104" s="112"/>
      <c r="C104" s="112"/>
      <c r="D104" s="112"/>
      <c r="E104" s="130"/>
      <c r="F104" s="130"/>
      <c r="G104" s="130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>
      <c r="A105" s="112"/>
      <c r="B105" s="112"/>
      <c r="C105" s="112"/>
      <c r="D105" s="112"/>
      <c r="E105" s="130"/>
      <c r="F105" s="130"/>
      <c r="G105" s="130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>
      <c r="A106" s="112"/>
      <c r="B106" s="112"/>
      <c r="C106" s="112"/>
      <c r="D106" s="112"/>
      <c r="E106" s="130"/>
      <c r="F106" s="130"/>
      <c r="G106" s="130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>
      <c r="A107" s="112"/>
      <c r="B107" s="112"/>
      <c r="C107" s="112"/>
      <c r="D107" s="112"/>
      <c r="E107" s="130"/>
      <c r="F107" s="130"/>
      <c r="G107" s="130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>
      <c r="A108" s="112"/>
      <c r="B108" s="112"/>
      <c r="C108" s="112"/>
      <c r="D108" s="112"/>
      <c r="E108" s="130"/>
      <c r="F108" s="130"/>
      <c r="G108" s="130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>
      <c r="A109" s="112"/>
      <c r="B109" s="112"/>
      <c r="C109" s="112"/>
      <c r="D109" s="112"/>
      <c r="E109" s="130"/>
      <c r="F109" s="130"/>
      <c r="G109" s="130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>
      <c r="A110" s="112"/>
      <c r="B110" s="112"/>
      <c r="C110" s="112"/>
      <c r="D110" s="112"/>
      <c r="E110" s="130"/>
      <c r="F110" s="130"/>
      <c r="G110" s="130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>
      <c r="A111" s="112"/>
      <c r="B111" s="112"/>
      <c r="C111" s="112"/>
      <c r="D111" s="112"/>
      <c r="E111" s="130"/>
      <c r="F111" s="130"/>
      <c r="G111" s="130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>
      <c r="A112" s="112"/>
      <c r="B112" s="112"/>
      <c r="C112" s="112"/>
      <c r="D112" s="112"/>
      <c r="E112" s="130"/>
      <c r="F112" s="130"/>
      <c r="G112" s="130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>
      <c r="A113" s="112"/>
      <c r="B113" s="112"/>
      <c r="C113" s="112"/>
      <c r="D113" s="112"/>
      <c r="E113" s="130"/>
      <c r="F113" s="130"/>
      <c r="G113" s="130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>
      <c r="A114" s="112"/>
      <c r="B114" s="112"/>
      <c r="C114" s="112"/>
      <c r="D114" s="112"/>
      <c r="E114" s="130"/>
      <c r="F114" s="130"/>
      <c r="G114" s="130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>
      <c r="A115" s="112"/>
      <c r="B115" s="112"/>
      <c r="C115" s="112"/>
      <c r="D115" s="112"/>
      <c r="E115" s="130"/>
      <c r="F115" s="130"/>
      <c r="G115" s="130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>
      <c r="A116" s="112"/>
      <c r="B116" s="112"/>
      <c r="C116" s="112"/>
      <c r="D116" s="112"/>
      <c r="E116" s="130"/>
      <c r="F116" s="130"/>
      <c r="G116" s="130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>
      <c r="A117" s="112"/>
      <c r="B117" s="112"/>
      <c r="C117" s="112"/>
      <c r="D117" s="112"/>
      <c r="E117" s="130"/>
      <c r="F117" s="130"/>
      <c r="G117" s="130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>
      <c r="A118" s="112"/>
      <c r="B118" s="112"/>
      <c r="C118" s="112"/>
      <c r="D118" s="112"/>
      <c r="E118" s="130"/>
      <c r="F118" s="130"/>
      <c r="G118" s="130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>
      <c r="A119" s="112"/>
      <c r="B119" s="112"/>
      <c r="C119" s="112"/>
      <c r="D119" s="112"/>
      <c r="E119" s="130"/>
      <c r="F119" s="130"/>
      <c r="G119" s="130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>
      <c r="A120" s="112"/>
      <c r="B120" s="112"/>
      <c r="C120" s="112"/>
      <c r="D120" s="112"/>
      <c r="E120" s="130"/>
      <c r="F120" s="130"/>
      <c r="G120" s="130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>
      <c r="A121" s="112"/>
      <c r="B121" s="112"/>
      <c r="C121" s="112"/>
      <c r="D121" s="112"/>
      <c r="E121" s="130"/>
      <c r="F121" s="130"/>
      <c r="G121" s="130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>
      <c r="A122" s="112"/>
      <c r="B122" s="112"/>
      <c r="C122" s="112"/>
      <c r="D122" s="112"/>
      <c r="E122" s="130"/>
      <c r="F122" s="130"/>
      <c r="G122" s="130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>
      <c r="A123" s="112"/>
      <c r="B123" s="112"/>
      <c r="C123" s="112"/>
      <c r="D123" s="112"/>
      <c r="E123" s="130"/>
      <c r="F123" s="130"/>
      <c r="G123" s="130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>
      <c r="A124" s="112"/>
      <c r="B124" s="112"/>
      <c r="C124" s="112"/>
      <c r="D124" s="112"/>
      <c r="E124" s="130"/>
      <c r="F124" s="130"/>
      <c r="G124" s="130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>
      <c r="A125" s="112"/>
      <c r="B125" s="112"/>
      <c r="C125" s="112"/>
      <c r="D125" s="112"/>
      <c r="E125" s="130"/>
      <c r="F125" s="130"/>
      <c r="G125" s="130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>
      <c r="A126" s="112"/>
      <c r="B126" s="112"/>
      <c r="C126" s="112"/>
      <c r="D126" s="112"/>
      <c r="E126" s="130"/>
      <c r="F126" s="130"/>
      <c r="G126" s="130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>
      <c r="A127" s="112"/>
      <c r="B127" s="112"/>
      <c r="C127" s="112"/>
      <c r="D127" s="112"/>
      <c r="E127" s="130"/>
      <c r="F127" s="130"/>
      <c r="G127" s="130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>
      <c r="A128" s="112"/>
      <c r="B128" s="112"/>
      <c r="C128" s="112"/>
      <c r="D128" s="112"/>
      <c r="E128" s="130"/>
      <c r="F128" s="130"/>
      <c r="G128" s="130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>
      <c r="A129" s="112"/>
      <c r="B129" s="112"/>
      <c r="C129" s="112"/>
      <c r="D129" s="112"/>
      <c r="E129" s="130"/>
      <c r="F129" s="130"/>
      <c r="G129" s="130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>
      <c r="A130" s="112"/>
      <c r="B130" s="112"/>
      <c r="C130" s="112"/>
      <c r="D130" s="112"/>
      <c r="E130" s="130"/>
      <c r="F130" s="130"/>
      <c r="G130" s="130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>
      <c r="A131" s="112"/>
      <c r="B131" s="112"/>
      <c r="C131" s="112"/>
      <c r="D131" s="112"/>
      <c r="E131" s="130"/>
      <c r="F131" s="130"/>
      <c r="G131" s="130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>
      <c r="A132" s="112"/>
      <c r="B132" s="112"/>
      <c r="C132" s="112"/>
      <c r="D132" s="112"/>
      <c r="E132" s="130"/>
      <c r="F132" s="130"/>
      <c r="G132" s="130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>
      <c r="A133" s="112"/>
      <c r="B133" s="112"/>
      <c r="C133" s="112"/>
      <c r="D133" s="112"/>
      <c r="E133" s="130"/>
      <c r="F133" s="130"/>
      <c r="G133" s="130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>
      <c r="A134" s="112"/>
      <c r="B134" s="112"/>
      <c r="C134" s="112"/>
      <c r="D134" s="112"/>
      <c r="E134" s="130"/>
      <c r="F134" s="130"/>
      <c r="G134" s="130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>
      <c r="A135" s="112"/>
      <c r="B135" s="112"/>
      <c r="C135" s="112"/>
      <c r="D135" s="112"/>
      <c r="E135" s="130"/>
      <c r="F135" s="130"/>
      <c r="G135" s="130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>
      <c r="A136" s="112"/>
      <c r="B136" s="112"/>
      <c r="C136" s="112"/>
      <c r="D136" s="112"/>
      <c r="E136" s="130"/>
      <c r="F136" s="130"/>
      <c r="G136" s="130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>
      <c r="A137" s="112"/>
      <c r="B137" s="112"/>
      <c r="C137" s="112"/>
      <c r="D137" s="112"/>
      <c r="E137" s="130"/>
      <c r="F137" s="130"/>
      <c r="G137" s="130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>
      <c r="A138" s="112"/>
      <c r="B138" s="112"/>
      <c r="C138" s="112"/>
      <c r="D138" s="112"/>
      <c r="E138" s="130"/>
      <c r="F138" s="130"/>
      <c r="G138" s="130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>
      <c r="A139" s="112"/>
      <c r="B139" s="112"/>
      <c r="C139" s="112"/>
      <c r="D139" s="112"/>
      <c r="E139" s="130"/>
      <c r="F139" s="130"/>
      <c r="G139" s="130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>
      <c r="A140" s="112"/>
      <c r="B140" s="112"/>
      <c r="C140" s="112"/>
      <c r="D140" s="112"/>
      <c r="E140" s="130"/>
      <c r="F140" s="130"/>
      <c r="G140" s="130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>
      <c r="A141" s="112"/>
      <c r="B141" s="112"/>
      <c r="C141" s="112"/>
      <c r="D141" s="112"/>
      <c r="E141" s="130"/>
      <c r="F141" s="130"/>
      <c r="G141" s="130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>
      <c r="A142" s="112"/>
      <c r="B142" s="112"/>
      <c r="C142" s="112"/>
      <c r="D142" s="112"/>
      <c r="E142" s="130"/>
      <c r="F142" s="130"/>
      <c r="G142" s="130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>
      <c r="A143" s="112"/>
      <c r="B143" s="112"/>
      <c r="C143" s="112"/>
      <c r="D143" s="112"/>
      <c r="E143" s="130"/>
      <c r="F143" s="130"/>
      <c r="G143" s="130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>
      <c r="A144" s="112"/>
      <c r="B144" s="112"/>
      <c r="C144" s="112"/>
      <c r="D144" s="112"/>
      <c r="E144" s="130"/>
      <c r="F144" s="130"/>
      <c r="G144" s="130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>
      <c r="A145" s="112"/>
      <c r="B145" s="112"/>
      <c r="C145" s="112"/>
      <c r="D145" s="112"/>
      <c r="E145" s="130"/>
      <c r="F145" s="130"/>
      <c r="G145" s="130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>
      <c r="A146" s="112"/>
      <c r="B146" s="112"/>
      <c r="C146" s="112"/>
      <c r="D146" s="112"/>
      <c r="E146" s="130"/>
      <c r="F146" s="130"/>
      <c r="G146" s="130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>
      <c r="A147" s="112"/>
      <c r="B147" s="112"/>
      <c r="C147" s="112"/>
      <c r="D147" s="112"/>
      <c r="E147" s="130"/>
      <c r="F147" s="130"/>
      <c r="G147" s="130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>
      <c r="A148" s="112"/>
      <c r="B148" s="112"/>
      <c r="C148" s="112"/>
      <c r="D148" s="112"/>
      <c r="E148" s="130"/>
      <c r="F148" s="130"/>
      <c r="G148" s="130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>
      <c r="A149" s="112"/>
      <c r="B149" s="112"/>
      <c r="C149" s="112"/>
      <c r="D149" s="112"/>
      <c r="E149" s="130"/>
      <c r="F149" s="130"/>
      <c r="G149" s="130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>
      <c r="A150" s="112"/>
      <c r="B150" s="112"/>
      <c r="C150" s="112"/>
      <c r="D150" s="112"/>
      <c r="E150" s="130"/>
      <c r="F150" s="130"/>
      <c r="G150" s="130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>
      <c r="A151" s="112"/>
      <c r="B151" s="112"/>
      <c r="C151" s="112"/>
      <c r="D151" s="112"/>
      <c r="E151" s="130"/>
      <c r="F151" s="130"/>
      <c r="G151" s="130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>
      <c r="A152" s="112"/>
      <c r="B152" s="112"/>
      <c r="C152" s="112"/>
      <c r="D152" s="112"/>
      <c r="E152" s="130"/>
      <c r="F152" s="130"/>
      <c r="G152" s="130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>
      <c r="A153" s="112"/>
      <c r="B153" s="112"/>
      <c r="C153" s="112"/>
      <c r="D153" s="112"/>
      <c r="E153" s="130"/>
      <c r="F153" s="130"/>
      <c r="G153" s="130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>
      <c r="A154" s="112"/>
      <c r="B154" s="112"/>
      <c r="C154" s="112"/>
      <c r="D154" s="112"/>
      <c r="E154" s="130"/>
      <c r="F154" s="130"/>
      <c r="G154" s="130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>
      <c r="A155" s="112"/>
      <c r="B155" s="112"/>
      <c r="C155" s="112"/>
      <c r="D155" s="112"/>
      <c r="E155" s="130"/>
      <c r="F155" s="130"/>
      <c r="G155" s="130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>
      <c r="A156" s="112"/>
      <c r="B156" s="112"/>
      <c r="C156" s="112"/>
      <c r="D156" s="112"/>
      <c r="E156" s="130"/>
      <c r="F156" s="130"/>
      <c r="G156" s="130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>
      <c r="A157" s="112"/>
      <c r="B157" s="112"/>
      <c r="C157" s="112"/>
      <c r="D157" s="112"/>
      <c r="E157" s="130"/>
      <c r="F157" s="130"/>
      <c r="G157" s="130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>
      <c r="A158" s="112"/>
      <c r="B158" s="112"/>
      <c r="C158" s="112"/>
      <c r="D158" s="112"/>
      <c r="E158" s="130"/>
      <c r="F158" s="130"/>
      <c r="G158" s="130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>
      <c r="A159" s="112"/>
      <c r="B159" s="112"/>
      <c r="C159" s="112"/>
      <c r="D159" s="112"/>
      <c r="E159" s="130"/>
      <c r="F159" s="130"/>
      <c r="G159" s="130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>
      <c r="A160" s="112"/>
      <c r="B160" s="112"/>
      <c r="C160" s="112"/>
      <c r="D160" s="112"/>
      <c r="E160" s="130"/>
      <c r="F160" s="130"/>
      <c r="G160" s="130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>
      <c r="A161" s="112"/>
      <c r="B161" s="112"/>
      <c r="C161" s="112"/>
      <c r="D161" s="112"/>
      <c r="E161" s="130"/>
      <c r="F161" s="130"/>
      <c r="G161" s="130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>
      <c r="A162" s="112"/>
      <c r="B162" s="112"/>
      <c r="C162" s="112"/>
      <c r="D162" s="112"/>
      <c r="E162" s="130"/>
      <c r="F162" s="130"/>
      <c r="G162" s="130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>
      <c r="A163" s="112"/>
      <c r="B163" s="112"/>
      <c r="C163" s="112"/>
      <c r="D163" s="112"/>
      <c r="E163" s="130"/>
      <c r="F163" s="130"/>
      <c r="G163" s="130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>
      <c r="A164" s="112"/>
      <c r="B164" s="112"/>
      <c r="C164" s="112"/>
      <c r="D164" s="112"/>
      <c r="E164" s="130"/>
      <c r="F164" s="130"/>
      <c r="G164" s="130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>
      <c r="A165" s="112"/>
      <c r="B165" s="112"/>
      <c r="C165" s="112"/>
      <c r="D165" s="112"/>
      <c r="E165" s="130"/>
      <c r="F165" s="130"/>
      <c r="G165" s="130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>
      <c r="A166" s="112"/>
      <c r="B166" s="112"/>
      <c r="C166" s="112"/>
      <c r="D166" s="112"/>
      <c r="E166" s="130"/>
      <c r="F166" s="130"/>
      <c r="G166" s="130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>
      <c r="A167" s="112"/>
      <c r="B167" s="112"/>
      <c r="C167" s="112"/>
      <c r="D167" s="112"/>
      <c r="E167" s="130"/>
      <c r="F167" s="130"/>
      <c r="G167" s="130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>
      <c r="A168" s="112"/>
      <c r="B168" s="112"/>
      <c r="C168" s="112"/>
      <c r="D168" s="112"/>
      <c r="E168" s="130"/>
      <c r="F168" s="130"/>
      <c r="G168" s="130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>
      <c r="A169" s="112"/>
      <c r="B169" s="112"/>
      <c r="C169" s="112"/>
      <c r="D169" s="112"/>
      <c r="E169" s="130"/>
      <c r="F169" s="130"/>
      <c r="G169" s="130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>
      <c r="A170" s="112"/>
      <c r="B170" s="112"/>
      <c r="C170" s="112"/>
      <c r="D170" s="112"/>
      <c r="E170" s="130"/>
      <c r="F170" s="130"/>
      <c r="G170" s="130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>
      <c r="A171" s="112"/>
      <c r="B171" s="112"/>
      <c r="C171" s="112"/>
      <c r="D171" s="112"/>
      <c r="E171" s="130"/>
      <c r="F171" s="130"/>
      <c r="G171" s="130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>
      <c r="A172" s="112"/>
      <c r="B172" s="112"/>
      <c r="C172" s="112"/>
      <c r="D172" s="112"/>
      <c r="E172" s="130"/>
      <c r="F172" s="130"/>
      <c r="G172" s="130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>
      <c r="A173" s="112"/>
      <c r="B173" s="112"/>
      <c r="C173" s="112"/>
      <c r="D173" s="112"/>
      <c r="E173" s="130"/>
      <c r="F173" s="130"/>
      <c r="G173" s="130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>
      <c r="A174" s="112"/>
      <c r="B174" s="112"/>
      <c r="C174" s="112"/>
      <c r="D174" s="112"/>
      <c r="E174" s="130"/>
      <c r="F174" s="130"/>
      <c r="G174" s="130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>
      <c r="A175" s="112"/>
      <c r="B175" s="112"/>
      <c r="C175" s="112"/>
      <c r="D175" s="112"/>
      <c r="E175" s="130"/>
      <c r="F175" s="130"/>
      <c r="G175" s="130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>
      <c r="A176" s="112"/>
      <c r="B176" s="112"/>
      <c r="C176" s="112"/>
      <c r="D176" s="112"/>
      <c r="E176" s="130"/>
      <c r="F176" s="130"/>
      <c r="G176" s="130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>
      <c r="A177" s="112"/>
      <c r="B177" s="112"/>
      <c r="C177" s="112"/>
      <c r="D177" s="112"/>
      <c r="E177" s="130"/>
      <c r="F177" s="130"/>
      <c r="G177" s="130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>
      <c r="A178" s="112"/>
      <c r="B178" s="112"/>
      <c r="C178" s="112"/>
      <c r="D178" s="112"/>
      <c r="E178" s="130"/>
      <c r="F178" s="130"/>
      <c r="G178" s="130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>
      <c r="A179" s="112"/>
      <c r="B179" s="112"/>
      <c r="C179" s="112"/>
      <c r="D179" s="112"/>
      <c r="E179" s="130"/>
      <c r="F179" s="130"/>
      <c r="G179" s="130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>
      <c r="A180" s="112"/>
      <c r="B180" s="112"/>
      <c r="C180" s="112"/>
      <c r="D180" s="112"/>
      <c r="E180" s="130"/>
      <c r="F180" s="130"/>
      <c r="G180" s="130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>
      <c r="A181" s="112"/>
      <c r="B181" s="112"/>
      <c r="C181" s="112"/>
      <c r="D181" s="112"/>
      <c r="E181" s="130"/>
      <c r="F181" s="130"/>
      <c r="G181" s="130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>
      <c r="A182" s="112"/>
      <c r="B182" s="112"/>
      <c r="C182" s="112"/>
      <c r="D182" s="112"/>
      <c r="E182" s="130"/>
      <c r="F182" s="130"/>
      <c r="G182" s="130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>
      <c r="A183" s="112"/>
      <c r="B183" s="112"/>
      <c r="C183" s="112"/>
      <c r="D183" s="112"/>
      <c r="E183" s="130"/>
      <c r="F183" s="130"/>
      <c r="G183" s="130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>
      <c r="A184" s="112"/>
      <c r="B184" s="112"/>
      <c r="C184" s="112"/>
      <c r="D184" s="112"/>
      <c r="E184" s="130"/>
      <c r="F184" s="130"/>
      <c r="G184" s="130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>
      <c r="A185" s="112"/>
      <c r="B185" s="112"/>
      <c r="C185" s="112"/>
      <c r="D185" s="112"/>
      <c r="E185" s="130"/>
      <c r="F185" s="130"/>
      <c r="G185" s="130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>
      <c r="A186" s="112"/>
      <c r="B186" s="112"/>
      <c r="C186" s="112"/>
      <c r="D186" s="112"/>
      <c r="E186" s="130"/>
      <c r="F186" s="130"/>
      <c r="G186" s="130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>
      <c r="A187" s="112"/>
      <c r="B187" s="112"/>
      <c r="C187" s="112"/>
      <c r="D187" s="112"/>
      <c r="E187" s="130"/>
      <c r="F187" s="130"/>
      <c r="G187" s="130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>
      <c r="A188" s="112"/>
      <c r="B188" s="112"/>
      <c r="C188" s="112"/>
      <c r="D188" s="112"/>
      <c r="E188" s="130"/>
      <c r="F188" s="130"/>
      <c r="G188" s="130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>
      <c r="A189" s="112"/>
      <c r="B189" s="112"/>
      <c r="C189" s="112"/>
      <c r="D189" s="112"/>
      <c r="E189" s="130"/>
      <c r="F189" s="130"/>
      <c r="G189" s="130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>
      <c r="A190" s="112"/>
      <c r="B190" s="112"/>
      <c r="C190" s="112"/>
      <c r="D190" s="112"/>
      <c r="E190" s="130"/>
      <c r="F190" s="130"/>
      <c r="G190" s="130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>
      <c r="A191" s="112"/>
      <c r="B191" s="112"/>
      <c r="C191" s="112"/>
      <c r="D191" s="112"/>
      <c r="E191" s="130"/>
      <c r="F191" s="130"/>
      <c r="G191" s="130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>
      <c r="A192" s="112"/>
      <c r="B192" s="112"/>
      <c r="C192" s="112"/>
      <c r="D192" s="112"/>
      <c r="E192" s="130"/>
      <c r="F192" s="130"/>
      <c r="G192" s="130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>
      <c r="A193" s="112"/>
      <c r="B193" s="112"/>
      <c r="C193" s="112"/>
      <c r="D193" s="112"/>
      <c r="E193" s="130"/>
      <c r="F193" s="130"/>
      <c r="G193" s="130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>
      <c r="A194" s="112"/>
      <c r="B194" s="112"/>
      <c r="C194" s="112"/>
      <c r="D194" s="112"/>
      <c r="E194" s="130"/>
      <c r="F194" s="130"/>
      <c r="G194" s="130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>
      <c r="A195" s="112"/>
      <c r="B195" s="112"/>
      <c r="C195" s="112"/>
      <c r="D195" s="112"/>
      <c r="E195" s="130"/>
      <c r="F195" s="130"/>
      <c r="G195" s="130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>
      <c r="A196" s="112"/>
      <c r="B196" s="112"/>
      <c r="C196" s="112"/>
      <c r="D196" s="112"/>
      <c r="E196" s="130"/>
      <c r="F196" s="130"/>
      <c r="G196" s="130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>
      <c r="A197" s="112"/>
      <c r="B197" s="112"/>
      <c r="C197" s="112"/>
      <c r="D197" s="112"/>
      <c r="E197" s="130"/>
      <c r="F197" s="130"/>
      <c r="G197" s="130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>
      <c r="A198" s="112"/>
      <c r="B198" s="112"/>
      <c r="C198" s="112"/>
      <c r="D198" s="112"/>
      <c r="E198" s="130"/>
      <c r="F198" s="130"/>
      <c r="G198" s="130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>
      <c r="A199" s="112"/>
      <c r="B199" s="112"/>
      <c r="C199" s="112"/>
      <c r="D199" s="112"/>
      <c r="E199" s="130"/>
      <c r="F199" s="130"/>
      <c r="G199" s="130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>
      <c r="A200" s="112"/>
      <c r="B200" s="112"/>
      <c r="C200" s="112"/>
      <c r="D200" s="112"/>
      <c r="E200" s="130"/>
      <c r="F200" s="130"/>
      <c r="G200" s="130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>
      <c r="A201" s="112"/>
      <c r="B201" s="112"/>
      <c r="C201" s="112"/>
      <c r="D201" s="112"/>
      <c r="E201" s="130"/>
      <c r="F201" s="130"/>
      <c r="G201" s="130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>
      <c r="A202" s="112"/>
      <c r="B202" s="112"/>
      <c r="C202" s="112"/>
      <c r="D202" s="112"/>
      <c r="E202" s="130"/>
      <c r="F202" s="130"/>
      <c r="G202" s="130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>
      <c r="A203" s="112"/>
      <c r="B203" s="112"/>
      <c r="C203" s="112"/>
      <c r="D203" s="112"/>
      <c r="E203" s="130"/>
      <c r="F203" s="130"/>
      <c r="G203" s="130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>
      <c r="A204" s="112"/>
      <c r="B204" s="112"/>
      <c r="C204" s="112"/>
      <c r="D204" s="112"/>
      <c r="E204" s="130"/>
      <c r="F204" s="130"/>
      <c r="G204" s="130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>
      <c r="A205" s="112"/>
      <c r="B205" s="112"/>
      <c r="C205" s="112"/>
      <c r="D205" s="112"/>
      <c r="E205" s="130"/>
      <c r="F205" s="130"/>
      <c r="G205" s="130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>
      <c r="A206" s="112"/>
      <c r="B206" s="112"/>
      <c r="C206" s="112"/>
      <c r="D206" s="112"/>
      <c r="E206" s="130"/>
      <c r="F206" s="130"/>
      <c r="G206" s="130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>
      <c r="A207" s="112"/>
      <c r="B207" s="112"/>
      <c r="C207" s="112"/>
      <c r="D207" s="112"/>
      <c r="E207" s="130"/>
      <c r="F207" s="130"/>
      <c r="G207" s="130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>
      <c r="A208" s="112"/>
      <c r="B208" s="112"/>
      <c r="C208" s="112"/>
      <c r="D208" s="112"/>
      <c r="E208" s="130"/>
      <c r="F208" s="130"/>
      <c r="G208" s="130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>
      <c r="A209" s="112"/>
      <c r="B209" s="112"/>
      <c r="C209" s="112"/>
      <c r="D209" s="112"/>
      <c r="E209" s="130"/>
      <c r="F209" s="130"/>
      <c r="G209" s="130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>
      <c r="A210" s="112"/>
      <c r="B210" s="112"/>
      <c r="C210" s="112"/>
      <c r="D210" s="112"/>
      <c r="E210" s="130"/>
      <c r="F210" s="130"/>
      <c r="G210" s="130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>
      <c r="A211" s="112"/>
      <c r="B211" s="112"/>
      <c r="C211" s="112"/>
      <c r="D211" s="112"/>
      <c r="E211" s="130"/>
      <c r="F211" s="130"/>
      <c r="G211" s="130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>
      <c r="A212" s="112"/>
      <c r="B212" s="112"/>
      <c r="C212" s="112"/>
      <c r="D212" s="112"/>
      <c r="E212" s="130"/>
      <c r="F212" s="130"/>
      <c r="G212" s="130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>
      <c r="A213" s="112"/>
      <c r="B213" s="112"/>
      <c r="C213" s="112"/>
      <c r="D213" s="112"/>
      <c r="E213" s="130"/>
      <c r="F213" s="130"/>
      <c r="G213" s="130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>
      <c r="A214" s="112"/>
      <c r="B214" s="112"/>
      <c r="C214" s="112"/>
      <c r="D214" s="112"/>
      <c r="E214" s="130"/>
      <c r="F214" s="130"/>
      <c r="G214" s="130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>
      <c r="A215" s="112"/>
      <c r="B215" s="112"/>
      <c r="C215" s="112"/>
      <c r="D215" s="112"/>
      <c r="E215" s="130"/>
      <c r="F215" s="130"/>
      <c r="G215" s="130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>
      <c r="A216" s="112"/>
      <c r="B216" s="112"/>
      <c r="C216" s="112"/>
      <c r="D216" s="112"/>
      <c r="E216" s="130"/>
      <c r="F216" s="130"/>
      <c r="G216" s="130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>
      <c r="A217" s="112"/>
      <c r="B217" s="112"/>
      <c r="C217" s="112"/>
      <c r="D217" s="112"/>
      <c r="E217" s="130"/>
      <c r="F217" s="130"/>
      <c r="G217" s="130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>
      <c r="A218" s="112"/>
      <c r="B218" s="112"/>
      <c r="C218" s="112"/>
      <c r="D218" s="112"/>
      <c r="E218" s="130"/>
      <c r="F218" s="130"/>
      <c r="G218" s="130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>
      <c r="A219" s="112"/>
      <c r="B219" s="112"/>
      <c r="C219" s="112"/>
      <c r="D219" s="112"/>
      <c r="E219" s="130"/>
      <c r="F219" s="130"/>
      <c r="G219" s="130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>
      <c r="A220" s="112"/>
      <c r="B220" s="112"/>
      <c r="C220" s="112"/>
      <c r="D220" s="112"/>
      <c r="E220" s="130"/>
      <c r="F220" s="130"/>
      <c r="G220" s="130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>
      <c r="A221" s="112"/>
      <c r="B221" s="112"/>
      <c r="C221" s="112"/>
      <c r="D221" s="112"/>
      <c r="E221" s="130"/>
      <c r="F221" s="130"/>
      <c r="G221" s="130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>
      <c r="A222" s="112"/>
      <c r="B222" s="112"/>
      <c r="C222" s="112"/>
      <c r="D222" s="112"/>
      <c r="E222" s="130"/>
      <c r="F222" s="130"/>
      <c r="G222" s="130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>
      <c r="A223" s="112"/>
      <c r="B223" s="112"/>
      <c r="C223" s="112"/>
      <c r="D223" s="112"/>
      <c r="E223" s="130"/>
      <c r="F223" s="130"/>
      <c r="G223" s="130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>
      <c r="A224" s="112"/>
      <c r="B224" s="112"/>
      <c r="C224" s="112"/>
      <c r="D224" s="112"/>
      <c r="E224" s="130"/>
      <c r="F224" s="130"/>
      <c r="G224" s="130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>
      <c r="A225" s="112"/>
      <c r="B225" s="112"/>
      <c r="C225" s="112"/>
      <c r="D225" s="112"/>
      <c r="E225" s="130"/>
      <c r="F225" s="130"/>
      <c r="G225" s="130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>
      <c r="A226" s="112"/>
      <c r="B226" s="112"/>
      <c r="C226" s="112"/>
      <c r="D226" s="112"/>
      <c r="E226" s="130"/>
      <c r="F226" s="130"/>
      <c r="G226" s="130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>
      <c r="A227" s="112"/>
      <c r="B227" s="112"/>
      <c r="C227" s="112"/>
      <c r="D227" s="112"/>
      <c r="E227" s="130"/>
      <c r="F227" s="130"/>
      <c r="G227" s="130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>
      <c r="A228" s="112"/>
      <c r="B228" s="112"/>
      <c r="C228" s="112"/>
      <c r="D228" s="112"/>
      <c r="E228" s="130"/>
      <c r="F228" s="130"/>
      <c r="G228" s="130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>
      <c r="A229" s="112"/>
      <c r="B229" s="112"/>
      <c r="C229" s="112"/>
      <c r="D229" s="112"/>
      <c r="E229" s="130"/>
      <c r="F229" s="130"/>
      <c r="G229" s="130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>
      <c r="A230" s="112"/>
      <c r="B230" s="112"/>
      <c r="C230" s="112"/>
      <c r="D230" s="112"/>
      <c r="E230" s="130"/>
      <c r="F230" s="130"/>
      <c r="G230" s="130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>
      <c r="A231" s="112"/>
      <c r="B231" s="112"/>
      <c r="C231" s="112"/>
      <c r="D231" s="112"/>
      <c r="E231" s="130"/>
      <c r="F231" s="130"/>
      <c r="G231" s="130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>
      <c r="A232" s="112"/>
      <c r="B232" s="112"/>
      <c r="C232" s="112"/>
      <c r="D232" s="112"/>
      <c r="E232" s="130"/>
      <c r="F232" s="130"/>
      <c r="G232" s="130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>
      <c r="A233" s="112"/>
      <c r="B233" s="112"/>
      <c r="C233" s="112"/>
      <c r="D233" s="112"/>
      <c r="E233" s="130"/>
      <c r="F233" s="130"/>
      <c r="G233" s="130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>
      <c r="A234" s="112"/>
      <c r="B234" s="112"/>
      <c r="C234" s="112"/>
      <c r="D234" s="112"/>
      <c r="E234" s="130"/>
      <c r="F234" s="130"/>
      <c r="G234" s="130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>
      <c r="A235" s="112"/>
      <c r="B235" s="112"/>
      <c r="C235" s="112"/>
      <c r="D235" s="112"/>
      <c r="E235" s="130"/>
      <c r="F235" s="130"/>
      <c r="G235" s="130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>
      <c r="A236" s="112"/>
      <c r="B236" s="112"/>
      <c r="C236" s="112"/>
      <c r="D236" s="112"/>
      <c r="E236" s="130"/>
      <c r="F236" s="130"/>
      <c r="G236" s="130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>
      <c r="A237" s="112"/>
      <c r="B237" s="112"/>
      <c r="C237" s="112"/>
      <c r="D237" s="112"/>
      <c r="E237" s="130"/>
      <c r="F237" s="130"/>
      <c r="G237" s="130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>
      <c r="A238" s="112"/>
      <c r="B238" s="112"/>
      <c r="C238" s="112"/>
      <c r="D238" s="112"/>
      <c r="E238" s="130"/>
      <c r="F238" s="130"/>
      <c r="G238" s="130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>
      <c r="A239" s="112"/>
      <c r="B239" s="112"/>
      <c r="C239" s="112"/>
      <c r="D239" s="112"/>
      <c r="E239" s="130"/>
      <c r="F239" s="130"/>
      <c r="G239" s="130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>
      <c r="A240" s="112"/>
      <c r="B240" s="112"/>
      <c r="C240" s="112"/>
      <c r="D240" s="112"/>
      <c r="E240" s="130"/>
      <c r="F240" s="130"/>
      <c r="G240" s="130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>
      <c r="A241" s="112"/>
      <c r="B241" s="112"/>
      <c r="C241" s="112"/>
      <c r="D241" s="112"/>
      <c r="E241" s="130"/>
      <c r="F241" s="130"/>
      <c r="G241" s="130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>
      <c r="A242" s="112"/>
      <c r="B242" s="112"/>
      <c r="C242" s="112"/>
      <c r="D242" s="112"/>
      <c r="E242" s="130"/>
      <c r="F242" s="130"/>
      <c r="G242" s="130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>
      <c r="A243" s="112"/>
      <c r="B243" s="112"/>
      <c r="C243" s="112"/>
      <c r="D243" s="112"/>
      <c r="E243" s="130"/>
      <c r="F243" s="130"/>
      <c r="G243" s="130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>
      <c r="A244" s="112"/>
      <c r="B244" s="112"/>
      <c r="C244" s="112"/>
      <c r="D244" s="112"/>
      <c r="E244" s="130"/>
      <c r="F244" s="130"/>
      <c r="G244" s="130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>
      <c r="A245" s="112"/>
      <c r="B245" s="112"/>
      <c r="C245" s="112"/>
      <c r="D245" s="112"/>
      <c r="E245" s="130"/>
      <c r="F245" s="130"/>
      <c r="G245" s="130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>
      <c r="A246" s="112"/>
      <c r="B246" s="112"/>
      <c r="C246" s="112"/>
      <c r="D246" s="112"/>
      <c r="E246" s="130"/>
      <c r="F246" s="130"/>
      <c r="G246" s="130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>
      <c r="A247" s="112"/>
      <c r="B247" s="112"/>
      <c r="C247" s="112"/>
      <c r="D247" s="112"/>
      <c r="E247" s="130"/>
      <c r="F247" s="130"/>
      <c r="G247" s="130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>
      <c r="A248" s="112"/>
      <c r="B248" s="112"/>
      <c r="C248" s="112"/>
      <c r="D248" s="112"/>
      <c r="E248" s="130"/>
      <c r="F248" s="130"/>
      <c r="G248" s="130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>
      <c r="A249" s="112"/>
      <c r="B249" s="112"/>
      <c r="C249" s="112"/>
      <c r="D249" s="112"/>
      <c r="E249" s="130"/>
      <c r="F249" s="130"/>
      <c r="G249" s="130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>
      <c r="A250" s="112"/>
      <c r="B250" s="112"/>
      <c r="C250" s="112"/>
      <c r="D250" s="112"/>
      <c r="E250" s="130"/>
      <c r="F250" s="130"/>
      <c r="G250" s="130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>
      <c r="A251" s="112"/>
      <c r="B251" s="112"/>
      <c r="C251" s="112"/>
      <c r="D251" s="112"/>
      <c r="E251" s="130"/>
      <c r="F251" s="130"/>
      <c r="G251" s="130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>
      <c r="A252" s="112"/>
      <c r="B252" s="112"/>
      <c r="C252" s="112"/>
      <c r="D252" s="112"/>
      <c r="E252" s="130"/>
      <c r="F252" s="130"/>
      <c r="G252" s="130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>
      <c r="A253" s="112"/>
      <c r="B253" s="112"/>
      <c r="C253" s="112"/>
      <c r="D253" s="112"/>
      <c r="E253" s="130"/>
      <c r="F253" s="130"/>
      <c r="G253" s="130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>
      <c r="A254" s="112"/>
      <c r="B254" s="112"/>
      <c r="C254" s="112"/>
      <c r="D254" s="112"/>
      <c r="E254" s="130"/>
      <c r="F254" s="130"/>
      <c r="G254" s="130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>
      <c r="A255" s="112"/>
      <c r="B255" s="112"/>
      <c r="C255" s="112"/>
      <c r="D255" s="112"/>
      <c r="E255" s="130"/>
      <c r="F255" s="130"/>
      <c r="G255" s="130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>
      <c r="A256" s="112"/>
      <c r="B256" s="112"/>
      <c r="C256" s="112"/>
      <c r="D256" s="112"/>
      <c r="E256" s="130"/>
      <c r="F256" s="130"/>
      <c r="G256" s="130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>
      <c r="A257" s="112"/>
      <c r="B257" s="112"/>
      <c r="C257" s="112"/>
      <c r="D257" s="112"/>
      <c r="E257" s="130"/>
      <c r="F257" s="130"/>
      <c r="G257" s="130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>
      <c r="A258" s="112"/>
      <c r="B258" s="112"/>
      <c r="C258" s="112"/>
      <c r="D258" s="112"/>
      <c r="E258" s="130"/>
      <c r="F258" s="130"/>
      <c r="G258" s="130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>
      <c r="A259" s="112"/>
      <c r="B259" s="112"/>
      <c r="C259" s="112"/>
      <c r="D259" s="112"/>
      <c r="E259" s="130"/>
      <c r="F259" s="130"/>
      <c r="G259" s="130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>
      <c r="A260" s="112"/>
      <c r="B260" s="112"/>
      <c r="C260" s="112"/>
      <c r="D260" s="112"/>
      <c r="E260" s="130"/>
      <c r="F260" s="130"/>
      <c r="G260" s="130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>
      <c r="A261" s="112"/>
      <c r="B261" s="112"/>
      <c r="C261" s="112"/>
      <c r="D261" s="112"/>
      <c r="E261" s="130"/>
      <c r="F261" s="130"/>
      <c r="G261" s="130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>
      <c r="A262" s="112"/>
      <c r="B262" s="112"/>
      <c r="C262" s="112"/>
      <c r="D262" s="112"/>
      <c r="E262" s="130"/>
      <c r="F262" s="130"/>
      <c r="G262" s="130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>
      <c r="A263" s="112"/>
      <c r="B263" s="112"/>
      <c r="C263" s="112"/>
      <c r="D263" s="112"/>
      <c r="E263" s="130"/>
      <c r="F263" s="130"/>
      <c r="G263" s="130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>
      <c r="A264" s="112"/>
      <c r="B264" s="112"/>
      <c r="C264" s="112"/>
      <c r="D264" s="112"/>
      <c r="E264" s="130"/>
      <c r="F264" s="130"/>
      <c r="G264" s="130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>
      <c r="A265" s="112"/>
      <c r="B265" s="112"/>
      <c r="C265" s="112"/>
      <c r="D265" s="112"/>
      <c r="E265" s="130"/>
      <c r="F265" s="130"/>
      <c r="G265" s="130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>
      <c r="A266" s="112"/>
      <c r="B266" s="112"/>
      <c r="C266" s="112"/>
      <c r="D266" s="112"/>
      <c r="E266" s="130"/>
      <c r="F266" s="130"/>
      <c r="G266" s="130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>
      <c r="A267" s="112"/>
      <c r="B267" s="112"/>
      <c r="C267" s="112"/>
      <c r="D267" s="112"/>
      <c r="E267" s="130"/>
      <c r="F267" s="130"/>
      <c r="G267" s="130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>
      <c r="A268" s="112"/>
      <c r="B268" s="112"/>
      <c r="C268" s="112"/>
      <c r="D268" s="112"/>
      <c r="E268" s="130"/>
      <c r="F268" s="130"/>
      <c r="G268" s="130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>
      <c r="A269" s="112"/>
      <c r="B269" s="112"/>
      <c r="C269" s="112"/>
      <c r="D269" s="112"/>
      <c r="E269" s="130"/>
      <c r="F269" s="130"/>
      <c r="G269" s="130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>
      <c r="A270" s="112"/>
      <c r="B270" s="112"/>
      <c r="C270" s="112"/>
      <c r="D270" s="112"/>
      <c r="E270" s="130"/>
      <c r="F270" s="130"/>
      <c r="G270" s="130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>
      <c r="A271" s="112"/>
      <c r="B271" s="112"/>
      <c r="C271" s="112"/>
      <c r="D271" s="112"/>
      <c r="E271" s="130"/>
      <c r="F271" s="130"/>
      <c r="G271" s="130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>
      <c r="A272" s="112"/>
      <c r="B272" s="112"/>
      <c r="C272" s="112"/>
      <c r="D272" s="112"/>
      <c r="E272" s="130"/>
      <c r="F272" s="130"/>
      <c r="G272" s="130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>
      <c r="A273" s="112"/>
      <c r="B273" s="112"/>
      <c r="C273" s="112"/>
      <c r="D273" s="112"/>
      <c r="E273" s="130"/>
      <c r="F273" s="130"/>
      <c r="G273" s="130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>
      <c r="A274" s="112"/>
      <c r="B274" s="112"/>
      <c r="C274" s="112"/>
      <c r="D274" s="112"/>
      <c r="E274" s="130"/>
      <c r="F274" s="130"/>
      <c r="G274" s="130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>
      <c r="A275" s="112"/>
      <c r="B275" s="112"/>
      <c r="C275" s="112"/>
      <c r="D275" s="112"/>
      <c r="E275" s="130"/>
      <c r="F275" s="130"/>
      <c r="G275" s="130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>
      <c r="A276" s="112"/>
      <c r="B276" s="112"/>
      <c r="C276" s="112"/>
      <c r="D276" s="112"/>
      <c r="E276" s="130"/>
      <c r="F276" s="130"/>
      <c r="G276" s="130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>
      <c r="A277" s="112"/>
      <c r="B277" s="112"/>
      <c r="C277" s="112"/>
      <c r="D277" s="112"/>
      <c r="E277" s="130"/>
      <c r="F277" s="130"/>
      <c r="G277" s="130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>
      <c r="A278" s="112"/>
      <c r="B278" s="112"/>
      <c r="C278" s="112"/>
      <c r="D278" s="112"/>
      <c r="E278" s="130"/>
      <c r="F278" s="130"/>
      <c r="G278" s="130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>
      <c r="A279" s="112"/>
      <c r="B279" s="112"/>
      <c r="C279" s="112"/>
      <c r="D279" s="112"/>
      <c r="E279" s="130"/>
      <c r="F279" s="130"/>
      <c r="G279" s="130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>
      <c r="A280" s="112"/>
      <c r="B280" s="112"/>
      <c r="C280" s="112"/>
      <c r="D280" s="112"/>
      <c r="E280" s="130"/>
      <c r="F280" s="130"/>
      <c r="G280" s="130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>
      <c r="A281" s="112"/>
      <c r="B281" s="112"/>
      <c r="C281" s="112"/>
      <c r="D281" s="112"/>
      <c r="E281" s="130"/>
      <c r="F281" s="130"/>
      <c r="G281" s="130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>
      <c r="A282" s="112"/>
      <c r="B282" s="112"/>
      <c r="C282" s="112"/>
      <c r="D282" s="112"/>
      <c r="E282" s="130"/>
      <c r="F282" s="130"/>
      <c r="G282" s="130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>
      <c r="A283" s="112"/>
      <c r="B283" s="112"/>
      <c r="C283" s="112"/>
      <c r="D283" s="112"/>
      <c r="E283" s="130"/>
      <c r="F283" s="130"/>
      <c r="G283" s="130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>
      <c r="A284" s="112"/>
      <c r="B284" s="112"/>
      <c r="C284" s="112"/>
      <c r="D284" s="112"/>
      <c r="E284" s="130"/>
      <c r="F284" s="130"/>
      <c r="G284" s="130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>
      <c r="A285" s="112"/>
      <c r="B285" s="112"/>
      <c r="C285" s="112"/>
      <c r="D285" s="112"/>
      <c r="E285" s="130"/>
      <c r="F285" s="130"/>
      <c r="G285" s="130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>
      <c r="A286" s="112"/>
      <c r="B286" s="112"/>
      <c r="C286" s="112"/>
      <c r="D286" s="112"/>
      <c r="E286" s="130"/>
      <c r="F286" s="130"/>
      <c r="G286" s="130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>
      <c r="A287" s="112"/>
      <c r="B287" s="112"/>
      <c r="C287" s="112"/>
      <c r="D287" s="112"/>
      <c r="E287" s="130"/>
      <c r="F287" s="130"/>
      <c r="G287" s="130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>
      <c r="A288" s="112"/>
      <c r="B288" s="112"/>
      <c r="C288" s="112"/>
      <c r="D288" s="112"/>
      <c r="E288" s="130"/>
      <c r="F288" s="130"/>
      <c r="G288" s="130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>
      <c r="A289" s="112"/>
      <c r="B289" s="112"/>
      <c r="C289" s="112"/>
      <c r="D289" s="112"/>
      <c r="E289" s="130"/>
      <c r="F289" s="130"/>
      <c r="G289" s="130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>
      <c r="A290" s="112"/>
      <c r="B290" s="112"/>
      <c r="C290" s="112"/>
      <c r="D290" s="112"/>
      <c r="E290" s="130"/>
      <c r="F290" s="130"/>
      <c r="G290" s="130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>
      <c r="A291" s="112"/>
      <c r="B291" s="112"/>
      <c r="C291" s="112"/>
      <c r="D291" s="112"/>
      <c r="E291" s="130"/>
      <c r="F291" s="130"/>
      <c r="G291" s="130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>
      <c r="A292" s="112"/>
      <c r="B292" s="112"/>
      <c r="C292" s="112"/>
      <c r="D292" s="112"/>
      <c r="E292" s="130"/>
      <c r="F292" s="130"/>
      <c r="G292" s="130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>
      <c r="A293" s="112"/>
      <c r="B293" s="112"/>
      <c r="C293" s="112"/>
      <c r="D293" s="112"/>
      <c r="E293" s="130"/>
      <c r="F293" s="130"/>
      <c r="G293" s="130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>
      <c r="A294" s="112"/>
      <c r="B294" s="112"/>
      <c r="C294" s="112"/>
      <c r="D294" s="112"/>
      <c r="E294" s="130"/>
      <c r="F294" s="130"/>
      <c r="G294" s="130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>
      <c r="A295" s="112"/>
      <c r="B295" s="112"/>
      <c r="C295" s="112"/>
      <c r="D295" s="112"/>
      <c r="E295" s="130"/>
      <c r="F295" s="130"/>
      <c r="G295" s="130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>
      <c r="A296" s="112"/>
      <c r="B296" s="112"/>
      <c r="C296" s="112"/>
      <c r="D296" s="112"/>
      <c r="E296" s="130"/>
      <c r="F296" s="130"/>
      <c r="G296" s="130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>
      <c r="A297" s="112"/>
      <c r="B297" s="112"/>
      <c r="C297" s="112"/>
      <c r="D297" s="112"/>
      <c r="E297" s="130"/>
      <c r="F297" s="130"/>
      <c r="G297" s="130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>
      <c r="A298" s="112"/>
      <c r="B298" s="112"/>
      <c r="C298" s="112"/>
      <c r="D298" s="112"/>
      <c r="E298" s="130"/>
      <c r="F298" s="130"/>
      <c r="G298" s="130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>
      <c r="A299" s="112"/>
      <c r="B299" s="112"/>
      <c r="C299" s="112"/>
      <c r="D299" s="112"/>
      <c r="E299" s="130"/>
      <c r="F299" s="130"/>
      <c r="G299" s="130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>
      <c r="A300" s="112"/>
      <c r="B300" s="112"/>
      <c r="C300" s="112"/>
      <c r="D300" s="112"/>
      <c r="E300" s="130"/>
      <c r="F300" s="130"/>
      <c r="G300" s="130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>
      <c r="A301" s="112"/>
      <c r="B301" s="112"/>
      <c r="C301" s="112"/>
      <c r="D301" s="112"/>
      <c r="E301" s="130"/>
      <c r="F301" s="130"/>
      <c r="G301" s="130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>
      <c r="A302" s="112"/>
      <c r="B302" s="112"/>
      <c r="C302" s="112"/>
      <c r="D302" s="112"/>
      <c r="E302" s="130"/>
      <c r="F302" s="130"/>
      <c r="G302" s="130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>
      <c r="A303" s="112"/>
      <c r="B303" s="112"/>
      <c r="C303" s="112"/>
      <c r="D303" s="112"/>
      <c r="E303" s="130"/>
      <c r="F303" s="130"/>
      <c r="G303" s="130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>
      <c r="A304" s="112"/>
      <c r="B304" s="112"/>
      <c r="C304" s="112"/>
      <c r="D304" s="112"/>
      <c r="E304" s="130"/>
      <c r="F304" s="130"/>
      <c r="G304" s="130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>
      <c r="A305" s="112"/>
      <c r="B305" s="112"/>
      <c r="C305" s="112"/>
      <c r="D305" s="112"/>
      <c r="E305" s="130"/>
      <c r="F305" s="130"/>
      <c r="G305" s="130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>
      <c r="A306" s="112"/>
      <c r="B306" s="112"/>
      <c r="C306" s="112"/>
      <c r="D306" s="112"/>
      <c r="E306" s="130"/>
      <c r="F306" s="130"/>
      <c r="G306" s="130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>
      <c r="A307" s="112"/>
      <c r="B307" s="112"/>
      <c r="C307" s="112"/>
      <c r="D307" s="112"/>
      <c r="E307" s="130"/>
      <c r="F307" s="130"/>
      <c r="G307" s="130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>
      <c r="A308" s="112"/>
      <c r="B308" s="112"/>
      <c r="C308" s="112"/>
      <c r="D308" s="112"/>
      <c r="E308" s="130"/>
      <c r="F308" s="130"/>
      <c r="G308" s="130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>
      <c r="A309" s="112"/>
      <c r="B309" s="112"/>
      <c r="C309" s="112"/>
      <c r="D309" s="112"/>
      <c r="E309" s="130"/>
      <c r="F309" s="130"/>
      <c r="G309" s="130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>
      <c r="A310" s="112"/>
      <c r="B310" s="112"/>
      <c r="C310" s="112"/>
      <c r="D310" s="112"/>
      <c r="E310" s="130"/>
      <c r="F310" s="130"/>
      <c r="G310" s="130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>
      <c r="A311" s="112"/>
      <c r="B311" s="112"/>
      <c r="C311" s="112"/>
      <c r="D311" s="112"/>
      <c r="E311" s="130"/>
      <c r="F311" s="130"/>
      <c r="G311" s="130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>
      <c r="A312" s="112"/>
      <c r="B312" s="112"/>
      <c r="C312" s="112"/>
      <c r="D312" s="112"/>
      <c r="E312" s="130"/>
      <c r="F312" s="130"/>
      <c r="G312" s="130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>
      <c r="A313" s="112"/>
      <c r="B313" s="112"/>
      <c r="C313" s="112"/>
      <c r="D313" s="112"/>
      <c r="E313" s="130"/>
      <c r="F313" s="130"/>
      <c r="G313" s="130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>
      <c r="A314" s="112"/>
      <c r="B314" s="112"/>
      <c r="C314" s="112"/>
      <c r="D314" s="112"/>
      <c r="E314" s="130"/>
      <c r="F314" s="130"/>
      <c r="G314" s="130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>
      <c r="A315" s="112"/>
      <c r="B315" s="112"/>
      <c r="C315" s="112"/>
      <c r="D315" s="112"/>
      <c r="E315" s="130"/>
      <c r="F315" s="130"/>
      <c r="G315" s="130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>
      <c r="A316" s="112"/>
      <c r="B316" s="112"/>
      <c r="C316" s="112"/>
      <c r="D316" s="112"/>
      <c r="E316" s="130"/>
      <c r="F316" s="130"/>
      <c r="G316" s="130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>
      <c r="A317" s="112"/>
      <c r="B317" s="112"/>
      <c r="C317" s="112"/>
      <c r="D317" s="112"/>
      <c r="E317" s="130"/>
      <c r="F317" s="130"/>
      <c r="G317" s="130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>
      <c r="A318" s="112"/>
      <c r="B318" s="112"/>
      <c r="C318" s="112"/>
      <c r="D318" s="112"/>
      <c r="E318" s="130"/>
      <c r="F318" s="130"/>
      <c r="G318" s="130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>
      <c r="A319" s="112"/>
      <c r="B319" s="112"/>
      <c r="C319" s="112"/>
      <c r="D319" s="112"/>
      <c r="E319" s="130"/>
      <c r="F319" s="130"/>
      <c r="G319" s="130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>
      <c r="A320" s="112"/>
      <c r="B320" s="112"/>
      <c r="C320" s="112"/>
      <c r="D320" s="112"/>
      <c r="E320" s="130"/>
      <c r="F320" s="130"/>
      <c r="G320" s="130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>
      <c r="A321" s="112"/>
      <c r="B321" s="112"/>
      <c r="C321" s="112"/>
      <c r="D321" s="112"/>
      <c r="E321" s="130"/>
      <c r="F321" s="130"/>
      <c r="G321" s="130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>
      <c r="A322" s="112"/>
      <c r="B322" s="112"/>
      <c r="C322" s="112"/>
      <c r="D322" s="112"/>
      <c r="E322" s="130"/>
      <c r="F322" s="130"/>
      <c r="G322" s="130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>
      <c r="A323" s="112"/>
      <c r="B323" s="112"/>
      <c r="C323" s="112"/>
      <c r="D323" s="112"/>
      <c r="E323" s="130"/>
      <c r="F323" s="130"/>
      <c r="G323" s="130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>
      <c r="A324" s="112"/>
      <c r="B324" s="112"/>
      <c r="C324" s="112"/>
      <c r="D324" s="112"/>
      <c r="E324" s="130"/>
      <c r="F324" s="130"/>
      <c r="G324" s="130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>
      <c r="A325" s="112"/>
      <c r="B325" s="112"/>
      <c r="C325" s="112"/>
      <c r="D325" s="112"/>
      <c r="E325" s="130"/>
      <c r="F325" s="130"/>
      <c r="G325" s="130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>
      <c r="A326" s="112"/>
      <c r="B326" s="112"/>
      <c r="C326" s="112"/>
      <c r="D326" s="112"/>
      <c r="E326" s="130"/>
      <c r="F326" s="130"/>
      <c r="G326" s="130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>
      <c r="A327" s="112"/>
      <c r="B327" s="112"/>
      <c r="C327" s="112"/>
      <c r="D327" s="112"/>
      <c r="E327" s="130"/>
      <c r="F327" s="130"/>
      <c r="G327" s="130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>
      <c r="A328" s="112"/>
      <c r="B328" s="112"/>
      <c r="C328" s="112"/>
      <c r="D328" s="112"/>
      <c r="E328" s="130"/>
      <c r="F328" s="130"/>
      <c r="G328" s="130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>
      <c r="A329" s="112"/>
      <c r="B329" s="112"/>
      <c r="C329" s="112"/>
      <c r="D329" s="112"/>
      <c r="E329" s="130"/>
      <c r="F329" s="130"/>
      <c r="G329" s="130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>
      <c r="A330" s="112"/>
      <c r="B330" s="112"/>
      <c r="C330" s="112"/>
      <c r="D330" s="112"/>
      <c r="E330" s="130"/>
      <c r="F330" s="130"/>
      <c r="G330" s="130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>
      <c r="A331" s="112"/>
      <c r="B331" s="112"/>
      <c r="C331" s="112"/>
      <c r="D331" s="112"/>
      <c r="E331" s="130"/>
      <c r="F331" s="130"/>
      <c r="G331" s="130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>
      <c r="A332" s="112"/>
      <c r="B332" s="112"/>
      <c r="C332" s="112"/>
      <c r="D332" s="112"/>
      <c r="E332" s="130"/>
      <c r="F332" s="130"/>
      <c r="G332" s="130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>
      <c r="A333" s="112"/>
      <c r="B333" s="112"/>
      <c r="C333" s="112"/>
      <c r="D333" s="112"/>
      <c r="E333" s="130"/>
      <c r="F333" s="130"/>
      <c r="G333" s="130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>
      <c r="A334" s="112"/>
      <c r="B334" s="112"/>
      <c r="C334" s="112"/>
      <c r="D334" s="112"/>
      <c r="E334" s="130"/>
      <c r="F334" s="130"/>
      <c r="G334" s="130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>
      <c r="A335" s="112"/>
      <c r="B335" s="112"/>
      <c r="C335" s="112"/>
      <c r="D335" s="112"/>
      <c r="E335" s="130"/>
      <c r="F335" s="130"/>
      <c r="G335" s="130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>
      <c r="A336" s="112"/>
      <c r="B336" s="112"/>
      <c r="C336" s="112"/>
      <c r="D336" s="112"/>
      <c r="E336" s="130"/>
      <c r="F336" s="130"/>
      <c r="G336" s="130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>
      <c r="A337" s="112"/>
      <c r="B337" s="112"/>
      <c r="C337" s="112"/>
      <c r="D337" s="112"/>
      <c r="E337" s="130"/>
      <c r="F337" s="130"/>
      <c r="G337" s="130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>
      <c r="A338" s="112"/>
      <c r="B338" s="112"/>
      <c r="C338" s="112"/>
      <c r="D338" s="112"/>
      <c r="E338" s="130"/>
      <c r="F338" s="130"/>
      <c r="G338" s="130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>
      <c r="A339" s="112"/>
      <c r="B339" s="112"/>
      <c r="C339" s="112"/>
      <c r="D339" s="112"/>
      <c r="E339" s="130"/>
      <c r="F339" s="130"/>
      <c r="G339" s="130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>
      <c r="A340" s="112"/>
      <c r="B340" s="112"/>
      <c r="C340" s="112"/>
      <c r="D340" s="112"/>
      <c r="E340" s="130"/>
      <c r="F340" s="130"/>
      <c r="G340" s="130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>
      <c r="A341" s="112"/>
      <c r="B341" s="112"/>
      <c r="C341" s="112"/>
      <c r="D341" s="112"/>
      <c r="E341" s="130"/>
      <c r="F341" s="130"/>
      <c r="G341" s="130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>
      <c r="A342" s="112"/>
      <c r="B342" s="112"/>
      <c r="C342" s="112"/>
      <c r="D342" s="112"/>
      <c r="E342" s="130"/>
      <c r="F342" s="130"/>
      <c r="G342" s="130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>
      <c r="A343" s="112"/>
      <c r="B343" s="112"/>
      <c r="C343" s="112"/>
      <c r="D343" s="112"/>
      <c r="E343" s="130"/>
      <c r="F343" s="130"/>
      <c r="G343" s="130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>
      <c r="A344" s="112"/>
      <c r="B344" s="112"/>
      <c r="C344" s="112"/>
      <c r="D344" s="112"/>
      <c r="E344" s="130"/>
      <c r="F344" s="130"/>
      <c r="G344" s="130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>
      <c r="A345" s="112"/>
      <c r="B345" s="112"/>
      <c r="C345" s="112"/>
      <c r="D345" s="112"/>
      <c r="E345" s="130"/>
      <c r="F345" s="130"/>
      <c r="G345" s="130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>
      <c r="A346" s="112"/>
      <c r="B346" s="112"/>
      <c r="C346" s="112"/>
      <c r="D346" s="112"/>
      <c r="E346" s="130"/>
      <c r="F346" s="130"/>
      <c r="G346" s="130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>
      <c r="A347" s="112"/>
      <c r="B347" s="112"/>
      <c r="C347" s="112"/>
      <c r="D347" s="112"/>
      <c r="E347" s="130"/>
      <c r="F347" s="130"/>
      <c r="G347" s="130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>
      <c r="A348" s="112"/>
      <c r="B348" s="112"/>
      <c r="C348" s="112"/>
      <c r="D348" s="112"/>
      <c r="E348" s="130"/>
      <c r="F348" s="130"/>
      <c r="G348" s="130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>
      <c r="A349" s="112"/>
      <c r="B349" s="112"/>
      <c r="C349" s="112"/>
      <c r="D349" s="112"/>
      <c r="E349" s="130"/>
      <c r="F349" s="130"/>
      <c r="G349" s="130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>
      <c r="A350" s="112"/>
      <c r="B350" s="112"/>
      <c r="C350" s="112"/>
      <c r="D350" s="112"/>
      <c r="E350" s="130"/>
      <c r="F350" s="130"/>
      <c r="G350" s="130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>
      <c r="A351" s="112"/>
      <c r="B351" s="112"/>
      <c r="C351" s="112"/>
      <c r="D351" s="112"/>
      <c r="E351" s="130"/>
      <c r="F351" s="130"/>
      <c r="G351" s="130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>
      <c r="A352" s="112"/>
      <c r="B352" s="112"/>
      <c r="C352" s="112"/>
      <c r="D352" s="112"/>
      <c r="E352" s="130"/>
      <c r="F352" s="130"/>
      <c r="G352" s="130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>
      <c r="A353" s="112"/>
      <c r="B353" s="112"/>
      <c r="C353" s="112"/>
      <c r="D353" s="112"/>
      <c r="E353" s="130"/>
      <c r="F353" s="130"/>
      <c r="G353" s="130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>
      <c r="A354" s="112"/>
      <c r="B354" s="112"/>
      <c r="C354" s="112"/>
      <c r="D354" s="112"/>
      <c r="E354" s="130"/>
      <c r="F354" s="130"/>
      <c r="G354" s="130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>
      <c r="A355" s="112"/>
      <c r="B355" s="112"/>
      <c r="C355" s="112"/>
      <c r="D355" s="112"/>
      <c r="E355" s="130"/>
      <c r="F355" s="130"/>
      <c r="G355" s="130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>
      <c r="A356" s="112"/>
      <c r="B356" s="112"/>
      <c r="C356" s="112"/>
      <c r="D356" s="112"/>
      <c r="E356" s="130"/>
      <c r="F356" s="130"/>
      <c r="G356" s="130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>
      <c r="A357" s="112"/>
      <c r="B357" s="112"/>
      <c r="C357" s="112"/>
      <c r="D357" s="112"/>
      <c r="E357" s="130"/>
      <c r="F357" s="130"/>
      <c r="G357" s="130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>
      <c r="A358" s="112"/>
      <c r="B358" s="112"/>
      <c r="C358" s="112"/>
      <c r="D358" s="112"/>
      <c r="E358" s="130"/>
      <c r="F358" s="130"/>
      <c r="G358" s="130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>
      <c r="A359" s="112"/>
      <c r="B359" s="112"/>
      <c r="C359" s="112"/>
      <c r="D359" s="112"/>
      <c r="E359" s="130"/>
      <c r="F359" s="130"/>
      <c r="G359" s="130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>
      <c r="A360" s="112"/>
      <c r="B360" s="112"/>
      <c r="C360" s="112"/>
      <c r="D360" s="112"/>
      <c r="E360" s="130"/>
      <c r="F360" s="130"/>
      <c r="G360" s="130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>
      <c r="A361" s="112"/>
      <c r="B361" s="112"/>
      <c r="C361" s="112"/>
      <c r="D361" s="112"/>
      <c r="E361" s="130"/>
      <c r="F361" s="130"/>
      <c r="G361" s="130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>
      <c r="A362" s="112"/>
      <c r="B362" s="112"/>
      <c r="C362" s="112"/>
      <c r="D362" s="112"/>
      <c r="E362" s="130"/>
      <c r="F362" s="130"/>
      <c r="G362" s="130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>
      <c r="A363" s="112"/>
      <c r="B363" s="112"/>
      <c r="C363" s="112"/>
      <c r="D363" s="112"/>
      <c r="E363" s="130"/>
      <c r="F363" s="130"/>
      <c r="G363" s="130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>
      <c r="A364" s="112"/>
      <c r="B364" s="112"/>
      <c r="C364" s="112"/>
      <c r="D364" s="112"/>
      <c r="E364" s="130"/>
      <c r="F364" s="130"/>
      <c r="G364" s="130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>
      <c r="A365" s="112"/>
      <c r="B365" s="112"/>
      <c r="C365" s="112"/>
      <c r="D365" s="112"/>
      <c r="E365" s="130"/>
      <c r="F365" s="130"/>
      <c r="G365" s="130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>
      <c r="A366" s="112"/>
      <c r="B366" s="112"/>
      <c r="C366" s="112"/>
      <c r="D366" s="112"/>
      <c r="E366" s="130"/>
      <c r="F366" s="130"/>
      <c r="G366" s="130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>
      <c r="A367" s="112"/>
      <c r="B367" s="112"/>
      <c r="C367" s="112"/>
      <c r="D367" s="112"/>
      <c r="E367" s="130"/>
      <c r="F367" s="130"/>
      <c r="G367" s="130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>
      <c r="A368" s="112"/>
      <c r="B368" s="112"/>
      <c r="C368" s="112"/>
      <c r="D368" s="112"/>
      <c r="E368" s="130"/>
      <c r="F368" s="130"/>
      <c r="G368" s="130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>
      <c r="A369" s="112"/>
      <c r="B369" s="112"/>
      <c r="C369" s="112"/>
      <c r="D369" s="112"/>
      <c r="E369" s="130"/>
      <c r="F369" s="130"/>
      <c r="G369" s="130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>
      <c r="A370" s="112"/>
      <c r="B370" s="112"/>
      <c r="C370" s="112"/>
      <c r="D370" s="112"/>
      <c r="E370" s="130"/>
      <c r="F370" s="130"/>
      <c r="G370" s="130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>
      <c r="A371" s="112"/>
      <c r="B371" s="112"/>
      <c r="C371" s="112"/>
      <c r="D371" s="112"/>
      <c r="E371" s="130"/>
      <c r="F371" s="130"/>
      <c r="G371" s="130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>
      <c r="A372" s="112"/>
      <c r="B372" s="112"/>
      <c r="C372" s="112"/>
      <c r="D372" s="112"/>
      <c r="E372" s="130"/>
      <c r="F372" s="130"/>
      <c r="G372" s="130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>
      <c r="A373" s="112"/>
      <c r="B373" s="112"/>
      <c r="C373" s="112"/>
      <c r="D373" s="112"/>
      <c r="E373" s="130"/>
      <c r="F373" s="130"/>
      <c r="G373" s="130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>
      <c r="A374" s="112"/>
      <c r="B374" s="112"/>
      <c r="C374" s="112"/>
      <c r="D374" s="112"/>
      <c r="E374" s="130"/>
      <c r="F374" s="130"/>
      <c r="G374" s="130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>
      <c r="A375" s="112"/>
      <c r="B375" s="112"/>
      <c r="C375" s="112"/>
      <c r="D375" s="112"/>
      <c r="E375" s="130"/>
      <c r="F375" s="130"/>
      <c r="G375" s="130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>
      <c r="A376" s="112"/>
      <c r="B376" s="112"/>
      <c r="C376" s="112"/>
      <c r="D376" s="112"/>
      <c r="E376" s="130"/>
      <c r="F376" s="130"/>
      <c r="G376" s="130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>
      <c r="A377" s="112"/>
      <c r="B377" s="112"/>
      <c r="C377" s="112"/>
      <c r="D377" s="112"/>
      <c r="E377" s="130"/>
      <c r="F377" s="130"/>
      <c r="G377" s="130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>
      <c r="A378" s="112"/>
      <c r="B378" s="112"/>
      <c r="C378" s="112"/>
      <c r="D378" s="112"/>
      <c r="E378" s="130"/>
      <c r="F378" s="130"/>
      <c r="G378" s="130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>
      <c r="A379" s="112"/>
      <c r="B379" s="112"/>
      <c r="C379" s="112"/>
      <c r="D379" s="112"/>
      <c r="E379" s="130"/>
      <c r="F379" s="130"/>
      <c r="G379" s="130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>
      <c r="A380" s="112"/>
      <c r="B380" s="112"/>
      <c r="C380" s="112"/>
      <c r="D380" s="112"/>
      <c r="E380" s="130"/>
      <c r="F380" s="130"/>
      <c r="G380" s="130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>
      <c r="A381" s="112"/>
      <c r="B381" s="112"/>
      <c r="C381" s="112"/>
      <c r="D381" s="112"/>
      <c r="E381" s="130"/>
      <c r="F381" s="130"/>
      <c r="G381" s="130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>
      <c r="A382" s="112"/>
      <c r="B382" s="112"/>
      <c r="C382" s="112"/>
      <c r="D382" s="112"/>
      <c r="E382" s="130"/>
      <c r="F382" s="130"/>
      <c r="G382" s="130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>
      <c r="A383" s="112"/>
      <c r="B383" s="112"/>
      <c r="C383" s="112"/>
      <c r="D383" s="112"/>
      <c r="E383" s="130"/>
      <c r="F383" s="130"/>
      <c r="G383" s="130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>
      <c r="A384" s="112"/>
      <c r="B384" s="112"/>
      <c r="C384" s="112"/>
      <c r="D384" s="112"/>
      <c r="E384" s="130"/>
      <c r="F384" s="130"/>
      <c r="G384" s="130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>
      <c r="A385" s="112"/>
      <c r="B385" s="112"/>
      <c r="C385" s="112"/>
      <c r="D385" s="112"/>
      <c r="E385" s="130"/>
      <c r="F385" s="130"/>
      <c r="G385" s="130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>
      <c r="A386" s="112"/>
      <c r="B386" s="112"/>
      <c r="C386" s="112"/>
      <c r="D386" s="112"/>
      <c r="E386" s="130"/>
      <c r="F386" s="130"/>
      <c r="G386" s="130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>
      <c r="A387" s="112"/>
      <c r="B387" s="112"/>
      <c r="C387" s="112"/>
      <c r="D387" s="112"/>
      <c r="E387" s="130"/>
      <c r="F387" s="130"/>
      <c r="G387" s="130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>
      <c r="A388" s="112"/>
      <c r="B388" s="112"/>
      <c r="C388" s="112"/>
      <c r="D388" s="112"/>
      <c r="E388" s="130"/>
      <c r="F388" s="130"/>
      <c r="G388" s="130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>
      <c r="A389" s="112"/>
      <c r="B389" s="112"/>
      <c r="C389" s="112"/>
      <c r="D389" s="112"/>
      <c r="E389" s="130"/>
      <c r="F389" s="130"/>
      <c r="G389" s="130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>
      <c r="A390" s="112"/>
      <c r="B390" s="112"/>
      <c r="C390" s="112"/>
      <c r="D390" s="112"/>
      <c r="E390" s="130"/>
      <c r="F390" s="130"/>
      <c r="G390" s="130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>
      <c r="A391" s="112"/>
      <c r="B391" s="112"/>
      <c r="C391" s="112"/>
      <c r="D391" s="112"/>
      <c r="E391" s="130"/>
      <c r="F391" s="130"/>
      <c r="G391" s="130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>
      <c r="A392" s="112"/>
      <c r="B392" s="112"/>
      <c r="C392" s="112"/>
      <c r="D392" s="112"/>
      <c r="E392" s="130"/>
      <c r="F392" s="130"/>
      <c r="G392" s="130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>
      <c r="A393" s="112"/>
      <c r="B393" s="112"/>
      <c r="C393" s="112"/>
      <c r="D393" s="112"/>
      <c r="E393" s="130"/>
      <c r="F393" s="130"/>
      <c r="G393" s="130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>
      <c r="A394" s="112"/>
      <c r="B394" s="112"/>
      <c r="C394" s="112"/>
      <c r="D394" s="112"/>
      <c r="E394" s="130"/>
      <c r="F394" s="130"/>
      <c r="G394" s="130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>
      <c r="A395" s="112"/>
      <c r="B395" s="112"/>
      <c r="C395" s="112"/>
      <c r="D395" s="112"/>
      <c r="E395" s="130"/>
      <c r="F395" s="130"/>
      <c r="G395" s="130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>
      <c r="A396" s="112"/>
      <c r="B396" s="112"/>
      <c r="C396" s="112"/>
      <c r="D396" s="112"/>
      <c r="E396" s="130"/>
      <c r="F396" s="130"/>
      <c r="G396" s="130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>
      <c r="A397" s="112"/>
      <c r="B397" s="112"/>
      <c r="C397" s="112"/>
      <c r="D397" s="112"/>
      <c r="E397" s="130"/>
      <c r="F397" s="130"/>
      <c r="G397" s="130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>
      <c r="A398" s="112"/>
      <c r="B398" s="112"/>
      <c r="C398" s="112"/>
      <c r="D398" s="112"/>
      <c r="E398" s="130"/>
      <c r="F398" s="130"/>
      <c r="G398" s="130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>
      <c r="A399" s="112"/>
      <c r="B399" s="112"/>
      <c r="C399" s="112"/>
      <c r="D399" s="112"/>
      <c r="E399" s="130"/>
      <c r="F399" s="130"/>
      <c r="G399" s="130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>
      <c r="A400" s="112"/>
      <c r="B400" s="112"/>
      <c r="C400" s="112"/>
      <c r="D400" s="112"/>
      <c r="E400" s="130"/>
      <c r="F400" s="130"/>
      <c r="G400" s="130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>
      <c r="A401" s="112"/>
      <c r="B401" s="112"/>
      <c r="C401" s="112"/>
      <c r="D401" s="112"/>
      <c r="E401" s="130"/>
      <c r="F401" s="130"/>
      <c r="G401" s="130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>
      <c r="A402" s="112"/>
      <c r="B402" s="112"/>
      <c r="C402" s="112"/>
      <c r="D402" s="112"/>
      <c r="E402" s="130"/>
      <c r="F402" s="130"/>
      <c r="G402" s="130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>
      <c r="A403" s="112"/>
      <c r="B403" s="112"/>
      <c r="C403" s="112"/>
      <c r="D403" s="112"/>
      <c r="E403" s="130"/>
      <c r="F403" s="130"/>
      <c r="G403" s="130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>
      <c r="A404" s="112"/>
      <c r="B404" s="112"/>
      <c r="C404" s="112"/>
      <c r="D404" s="112"/>
      <c r="E404" s="130"/>
      <c r="F404" s="130"/>
      <c r="G404" s="130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>
      <c r="A405" s="112"/>
      <c r="B405" s="112"/>
      <c r="C405" s="112"/>
      <c r="D405" s="112"/>
      <c r="E405" s="130"/>
      <c r="F405" s="130"/>
      <c r="G405" s="130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>
      <c r="A406" s="112"/>
      <c r="B406" s="112"/>
      <c r="C406" s="112"/>
      <c r="D406" s="112"/>
      <c r="E406" s="130"/>
      <c r="F406" s="130"/>
      <c r="G406" s="130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>
      <c r="A407" s="112"/>
      <c r="B407" s="112"/>
      <c r="C407" s="112"/>
      <c r="D407" s="112"/>
      <c r="E407" s="130"/>
      <c r="F407" s="130"/>
      <c r="G407" s="130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>
      <c r="A408" s="112"/>
      <c r="B408" s="112"/>
      <c r="C408" s="112"/>
      <c r="D408" s="112"/>
      <c r="E408" s="130"/>
      <c r="F408" s="130"/>
      <c r="G408" s="130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>
      <c r="A409" s="112"/>
      <c r="B409" s="112"/>
      <c r="C409" s="112"/>
      <c r="D409" s="112"/>
      <c r="E409" s="130"/>
      <c r="F409" s="130"/>
      <c r="G409" s="130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>
      <c r="A410" s="112"/>
      <c r="B410" s="112"/>
      <c r="C410" s="112"/>
      <c r="D410" s="112"/>
      <c r="E410" s="130"/>
      <c r="F410" s="130"/>
      <c r="G410" s="130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>
      <c r="A411" s="112"/>
      <c r="B411" s="112"/>
      <c r="C411" s="112"/>
      <c r="D411" s="112"/>
      <c r="E411" s="130"/>
      <c r="F411" s="130"/>
      <c r="G411" s="130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>
      <c r="A412" s="112"/>
      <c r="B412" s="112"/>
      <c r="C412" s="112"/>
      <c r="D412" s="112"/>
      <c r="E412" s="130"/>
      <c r="F412" s="130"/>
      <c r="G412" s="130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>
      <c r="A413" s="112"/>
      <c r="B413" s="112"/>
      <c r="C413" s="112"/>
      <c r="D413" s="112"/>
      <c r="E413" s="130"/>
      <c r="F413" s="130"/>
      <c r="G413" s="130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>
      <c r="A414" s="112"/>
      <c r="B414" s="112"/>
      <c r="C414" s="112"/>
      <c r="D414" s="112"/>
      <c r="E414" s="130"/>
      <c r="F414" s="130"/>
      <c r="G414" s="130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>
      <c r="A415" s="112"/>
      <c r="B415" s="112"/>
      <c r="C415" s="112"/>
      <c r="D415" s="112"/>
      <c r="E415" s="130"/>
      <c r="F415" s="130"/>
      <c r="G415" s="130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>
      <c r="A416" s="112"/>
      <c r="B416" s="112"/>
      <c r="C416" s="112"/>
      <c r="D416" s="112"/>
      <c r="E416" s="130"/>
      <c r="F416" s="130"/>
      <c r="G416" s="130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>
      <c r="A417" s="112"/>
      <c r="B417" s="112"/>
      <c r="C417" s="112"/>
      <c r="D417" s="112"/>
      <c r="E417" s="130"/>
      <c r="F417" s="130"/>
      <c r="G417" s="130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>
      <c r="A418" s="112"/>
      <c r="B418" s="112"/>
      <c r="C418" s="112"/>
      <c r="D418" s="112"/>
      <c r="E418" s="130"/>
      <c r="F418" s="130"/>
      <c r="G418" s="130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>
      <c r="A419" s="112"/>
      <c r="B419" s="112"/>
      <c r="C419" s="112"/>
      <c r="D419" s="112"/>
      <c r="E419" s="130"/>
      <c r="F419" s="130"/>
      <c r="G419" s="130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>
      <c r="A420" s="112"/>
      <c r="B420" s="112"/>
      <c r="C420" s="112"/>
      <c r="D420" s="112"/>
      <c r="E420" s="130"/>
      <c r="F420" s="130"/>
      <c r="G420" s="130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>
      <c r="A421" s="112"/>
      <c r="B421" s="112"/>
      <c r="C421" s="112"/>
      <c r="D421" s="112"/>
      <c r="E421" s="130"/>
      <c r="F421" s="130"/>
      <c r="G421" s="130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>
      <c r="A422" s="112"/>
      <c r="B422" s="112"/>
      <c r="C422" s="112"/>
      <c r="D422" s="112"/>
      <c r="E422" s="130"/>
      <c r="F422" s="130"/>
      <c r="G422" s="130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>
      <c r="A423" s="112"/>
      <c r="B423" s="112"/>
      <c r="C423" s="112"/>
      <c r="D423" s="112"/>
      <c r="E423" s="130"/>
      <c r="F423" s="130"/>
      <c r="G423" s="130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>
      <c r="A424" s="112"/>
      <c r="B424" s="112"/>
      <c r="C424" s="112"/>
      <c r="D424" s="112"/>
      <c r="E424" s="130"/>
      <c r="F424" s="130"/>
      <c r="G424" s="130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>
      <c r="A425" s="112"/>
      <c r="B425" s="112"/>
      <c r="C425" s="112"/>
      <c r="D425" s="112"/>
      <c r="E425" s="130"/>
      <c r="F425" s="130"/>
      <c r="G425" s="130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>
      <c r="A426" s="112"/>
      <c r="B426" s="112"/>
      <c r="C426" s="112"/>
      <c r="D426" s="112"/>
      <c r="E426" s="130"/>
      <c r="F426" s="130"/>
      <c r="G426" s="130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>
      <c r="A427" s="112"/>
      <c r="B427" s="112"/>
      <c r="C427" s="112"/>
      <c r="D427" s="112"/>
      <c r="E427" s="130"/>
      <c r="F427" s="130"/>
      <c r="G427" s="130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>
      <c r="A428" s="112"/>
      <c r="B428" s="112"/>
      <c r="C428" s="112"/>
      <c r="D428" s="112"/>
      <c r="E428" s="130"/>
      <c r="F428" s="130"/>
      <c r="G428" s="130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>
      <c r="A429" s="112"/>
      <c r="B429" s="112"/>
      <c r="C429" s="112"/>
      <c r="D429" s="112"/>
      <c r="E429" s="130"/>
      <c r="F429" s="130"/>
      <c r="G429" s="130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>
      <c r="A430" s="112"/>
      <c r="B430" s="112"/>
      <c r="C430" s="112"/>
      <c r="D430" s="112"/>
      <c r="E430" s="130"/>
      <c r="F430" s="130"/>
      <c r="G430" s="130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>
      <c r="A431" s="112"/>
      <c r="B431" s="112"/>
      <c r="C431" s="112"/>
      <c r="D431" s="112"/>
      <c r="E431" s="130"/>
      <c r="F431" s="130"/>
      <c r="G431" s="130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>
      <c r="A432" s="112"/>
      <c r="B432" s="112"/>
      <c r="C432" s="112"/>
      <c r="D432" s="112"/>
      <c r="E432" s="130"/>
      <c r="F432" s="130"/>
      <c r="G432" s="130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>
      <c r="A433" s="112"/>
      <c r="B433" s="112"/>
      <c r="C433" s="112"/>
      <c r="D433" s="112"/>
      <c r="E433" s="130"/>
      <c r="F433" s="130"/>
      <c r="G433" s="130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>
      <c r="A434" s="112"/>
      <c r="B434" s="112"/>
      <c r="C434" s="112"/>
      <c r="D434" s="112"/>
      <c r="E434" s="130"/>
      <c r="F434" s="130"/>
      <c r="G434" s="130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>
      <c r="A435" s="112"/>
      <c r="B435" s="112"/>
      <c r="C435" s="112"/>
      <c r="D435" s="112"/>
      <c r="E435" s="130"/>
      <c r="F435" s="130"/>
      <c r="G435" s="130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>
      <c r="A436" s="112"/>
      <c r="B436" s="112"/>
      <c r="C436" s="112"/>
      <c r="D436" s="112"/>
      <c r="E436" s="130"/>
      <c r="F436" s="130"/>
      <c r="G436" s="130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>
      <c r="A437" s="112"/>
      <c r="B437" s="112"/>
      <c r="C437" s="112"/>
      <c r="D437" s="112"/>
      <c r="E437" s="130"/>
      <c r="F437" s="130"/>
      <c r="G437" s="130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>
      <c r="A438" s="112"/>
      <c r="B438" s="112"/>
      <c r="C438" s="112"/>
      <c r="D438" s="112"/>
      <c r="E438" s="130"/>
      <c r="F438" s="130"/>
      <c r="G438" s="130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>
      <c r="A439" s="112"/>
      <c r="B439" s="112"/>
      <c r="C439" s="112"/>
      <c r="D439" s="112"/>
      <c r="E439" s="130"/>
      <c r="F439" s="130"/>
      <c r="G439" s="130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>
      <c r="A440" s="112"/>
      <c r="B440" s="112"/>
      <c r="C440" s="112"/>
      <c r="D440" s="112"/>
      <c r="E440" s="130"/>
      <c r="F440" s="130"/>
      <c r="G440" s="130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>
      <c r="A441" s="112"/>
      <c r="B441" s="112"/>
      <c r="C441" s="112"/>
      <c r="D441" s="112"/>
      <c r="E441" s="130"/>
      <c r="F441" s="130"/>
      <c r="G441" s="130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>
      <c r="A442" s="112"/>
      <c r="B442" s="112"/>
      <c r="C442" s="112"/>
      <c r="D442" s="112"/>
      <c r="E442" s="130"/>
      <c r="F442" s="130"/>
      <c r="G442" s="130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>
      <c r="A443" s="112"/>
      <c r="B443" s="112"/>
      <c r="C443" s="112"/>
      <c r="D443" s="112"/>
      <c r="E443" s="130"/>
      <c r="F443" s="130"/>
      <c r="G443" s="130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>
      <c r="A444" s="112"/>
      <c r="B444" s="112"/>
      <c r="C444" s="112"/>
      <c r="D444" s="112"/>
      <c r="E444" s="130"/>
      <c r="F444" s="130"/>
      <c r="G444" s="130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>
      <c r="A445" s="112"/>
      <c r="B445" s="112"/>
      <c r="C445" s="112"/>
      <c r="D445" s="112"/>
      <c r="E445" s="130"/>
      <c r="F445" s="130"/>
      <c r="G445" s="130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>
      <c r="A446" s="112"/>
      <c r="B446" s="112"/>
      <c r="C446" s="112"/>
      <c r="D446" s="112"/>
      <c r="E446" s="130"/>
      <c r="F446" s="130"/>
      <c r="G446" s="130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>
      <c r="A447" s="112"/>
      <c r="B447" s="112"/>
      <c r="C447" s="112"/>
      <c r="D447" s="112"/>
      <c r="E447" s="130"/>
      <c r="F447" s="130"/>
      <c r="G447" s="130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>
      <c r="A448" s="112"/>
      <c r="B448" s="112"/>
      <c r="C448" s="112"/>
      <c r="D448" s="112"/>
      <c r="E448" s="130"/>
      <c r="F448" s="130"/>
      <c r="G448" s="130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>
      <c r="A449" s="112"/>
      <c r="B449" s="112"/>
      <c r="C449" s="112"/>
      <c r="D449" s="112"/>
      <c r="E449" s="130"/>
      <c r="F449" s="130"/>
      <c r="G449" s="130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>
      <c r="A450" s="112"/>
      <c r="B450" s="112"/>
      <c r="C450" s="112"/>
      <c r="D450" s="112"/>
      <c r="E450" s="130"/>
      <c r="F450" s="130"/>
      <c r="G450" s="130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>
      <c r="A451" s="112"/>
      <c r="B451" s="112"/>
      <c r="C451" s="112"/>
      <c r="D451" s="112"/>
      <c r="E451" s="130"/>
      <c r="F451" s="130"/>
      <c r="G451" s="130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>
      <c r="A452" s="112"/>
      <c r="B452" s="112"/>
      <c r="C452" s="112"/>
      <c r="D452" s="112"/>
      <c r="E452" s="130"/>
      <c r="F452" s="130"/>
      <c r="G452" s="130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>
      <c r="A453" s="112"/>
      <c r="B453" s="112"/>
      <c r="C453" s="112"/>
      <c r="D453" s="112"/>
      <c r="E453" s="130"/>
      <c r="F453" s="130"/>
      <c r="G453" s="130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>
      <c r="A454" s="112"/>
      <c r="B454" s="112"/>
      <c r="C454" s="112"/>
      <c r="D454" s="112"/>
      <c r="E454" s="130"/>
      <c r="F454" s="130"/>
      <c r="G454" s="130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>
      <c r="A455" s="112"/>
      <c r="B455" s="112"/>
      <c r="C455" s="112"/>
      <c r="D455" s="112"/>
      <c r="E455" s="130"/>
      <c r="F455" s="130"/>
      <c r="G455" s="130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>
      <c r="A456" s="112"/>
      <c r="B456" s="112"/>
      <c r="C456" s="112"/>
      <c r="D456" s="112"/>
      <c r="E456" s="130"/>
      <c r="F456" s="130"/>
      <c r="G456" s="130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>
      <c r="A457" s="112"/>
      <c r="B457" s="112"/>
      <c r="C457" s="112"/>
      <c r="D457" s="112"/>
      <c r="E457" s="130"/>
      <c r="F457" s="130"/>
      <c r="G457" s="130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>
      <c r="A458" s="112"/>
      <c r="B458" s="112"/>
      <c r="C458" s="112"/>
      <c r="D458" s="112"/>
      <c r="E458" s="130"/>
      <c r="F458" s="130"/>
      <c r="G458" s="130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>
      <c r="A459" s="112"/>
      <c r="B459" s="112"/>
      <c r="C459" s="112"/>
      <c r="D459" s="112"/>
      <c r="E459" s="130"/>
      <c r="F459" s="130"/>
      <c r="G459" s="130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>
      <c r="A460" s="112"/>
      <c r="B460" s="112"/>
      <c r="C460" s="112"/>
      <c r="D460" s="112"/>
      <c r="E460" s="130"/>
      <c r="F460" s="130"/>
      <c r="G460" s="130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>
      <c r="A461" s="112"/>
      <c r="B461" s="112"/>
      <c r="C461" s="112"/>
      <c r="D461" s="112"/>
      <c r="E461" s="130"/>
      <c r="F461" s="130"/>
      <c r="G461" s="130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>
      <c r="A462" s="112"/>
      <c r="B462" s="112"/>
      <c r="C462" s="112"/>
      <c r="D462" s="112"/>
      <c r="E462" s="130"/>
      <c r="F462" s="130"/>
      <c r="G462" s="130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>
      <c r="A463" s="112"/>
      <c r="B463" s="112"/>
      <c r="C463" s="112"/>
      <c r="D463" s="112"/>
      <c r="E463" s="130"/>
      <c r="F463" s="130"/>
      <c r="G463" s="130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>
      <c r="A464" s="112"/>
      <c r="B464" s="112"/>
      <c r="C464" s="112"/>
      <c r="D464" s="112"/>
      <c r="E464" s="130"/>
      <c r="F464" s="130"/>
      <c r="G464" s="130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>
      <c r="A465" s="112"/>
      <c r="B465" s="112"/>
      <c r="C465" s="112"/>
      <c r="D465" s="112"/>
      <c r="E465" s="130"/>
      <c r="F465" s="130"/>
      <c r="G465" s="130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>
      <c r="A466" s="112"/>
      <c r="B466" s="112"/>
      <c r="C466" s="112"/>
      <c r="D466" s="112"/>
      <c r="E466" s="130"/>
      <c r="F466" s="130"/>
      <c r="G466" s="130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>
      <c r="A467" s="112"/>
      <c r="B467" s="112"/>
      <c r="C467" s="112"/>
      <c r="D467" s="112"/>
      <c r="E467" s="130"/>
      <c r="F467" s="130"/>
      <c r="G467" s="130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>
      <c r="A468" s="112"/>
      <c r="B468" s="112"/>
      <c r="C468" s="112"/>
      <c r="D468" s="112"/>
      <c r="E468" s="130"/>
      <c r="F468" s="130"/>
      <c r="G468" s="130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>
      <c r="A469" s="112"/>
      <c r="B469" s="112"/>
      <c r="C469" s="112"/>
      <c r="D469" s="112"/>
      <c r="E469" s="130"/>
      <c r="F469" s="130"/>
      <c r="G469" s="130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>
      <c r="A470" s="112"/>
      <c r="B470" s="112"/>
      <c r="C470" s="112"/>
      <c r="D470" s="112"/>
      <c r="E470" s="130"/>
      <c r="F470" s="130"/>
      <c r="G470" s="130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>
      <c r="A471" s="112"/>
      <c r="B471" s="112"/>
      <c r="C471" s="112"/>
      <c r="D471" s="112"/>
      <c r="E471" s="130"/>
      <c r="F471" s="130"/>
      <c r="G471" s="130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>
      <c r="A472" s="112"/>
      <c r="B472" s="112"/>
      <c r="C472" s="112"/>
      <c r="D472" s="112"/>
      <c r="E472" s="130"/>
      <c r="F472" s="130"/>
      <c r="G472" s="130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>
      <c r="A473" s="112"/>
      <c r="B473" s="112"/>
      <c r="C473" s="112"/>
      <c r="D473" s="112"/>
      <c r="E473" s="130"/>
      <c r="F473" s="130"/>
      <c r="G473" s="130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>
      <c r="A474" s="112"/>
      <c r="B474" s="112"/>
      <c r="C474" s="112"/>
      <c r="D474" s="112"/>
      <c r="E474" s="130"/>
      <c r="F474" s="130"/>
      <c r="G474" s="130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>
      <c r="A475" s="112"/>
      <c r="B475" s="112"/>
      <c r="C475" s="112"/>
      <c r="D475" s="112"/>
      <c r="E475" s="130"/>
      <c r="F475" s="130"/>
      <c r="G475" s="130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>
      <c r="A476" s="112"/>
      <c r="B476" s="112"/>
      <c r="C476" s="112"/>
      <c r="D476" s="112"/>
      <c r="E476" s="130"/>
      <c r="F476" s="130"/>
      <c r="G476" s="130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>
      <c r="A477" s="112"/>
      <c r="B477" s="112"/>
      <c r="C477" s="112"/>
      <c r="D477" s="112"/>
      <c r="E477" s="130"/>
      <c r="F477" s="130"/>
      <c r="G477" s="130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>
      <c r="A478" s="112"/>
      <c r="B478" s="112"/>
      <c r="C478" s="112"/>
      <c r="D478" s="112"/>
      <c r="E478" s="130"/>
      <c r="F478" s="130"/>
      <c r="G478" s="130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>
      <c r="A479" s="112"/>
      <c r="B479" s="112"/>
      <c r="C479" s="112"/>
      <c r="D479" s="112"/>
      <c r="E479" s="130"/>
      <c r="F479" s="130"/>
      <c r="G479" s="130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>
      <c r="A480" s="112"/>
      <c r="B480" s="112"/>
      <c r="C480" s="112"/>
      <c r="D480" s="112"/>
      <c r="E480" s="130"/>
      <c r="F480" s="130"/>
      <c r="G480" s="130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>
      <c r="A481" s="112"/>
      <c r="B481" s="112"/>
      <c r="C481" s="112"/>
      <c r="D481" s="112"/>
      <c r="E481" s="130"/>
      <c r="F481" s="130"/>
      <c r="G481" s="130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>
      <c r="A482" s="112"/>
      <c r="B482" s="112"/>
      <c r="C482" s="112"/>
      <c r="D482" s="112"/>
      <c r="E482" s="130"/>
      <c r="F482" s="130"/>
      <c r="G482" s="130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>
      <c r="A483" s="112"/>
      <c r="B483" s="112"/>
      <c r="C483" s="112"/>
      <c r="D483" s="112"/>
      <c r="E483" s="130"/>
      <c r="F483" s="130"/>
      <c r="G483" s="130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>
      <c r="A484" s="112"/>
      <c r="B484" s="112"/>
      <c r="C484" s="112"/>
      <c r="D484" s="112"/>
      <c r="E484" s="130"/>
      <c r="F484" s="130"/>
      <c r="G484" s="130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>
      <c r="A485" s="112"/>
      <c r="B485" s="112"/>
      <c r="C485" s="112"/>
      <c r="D485" s="112"/>
      <c r="E485" s="130"/>
      <c r="F485" s="130"/>
      <c r="G485" s="130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>
      <c r="A486" s="112"/>
      <c r="B486" s="112"/>
      <c r="C486" s="112"/>
      <c r="D486" s="112"/>
      <c r="E486" s="130"/>
      <c r="F486" s="130"/>
      <c r="G486" s="130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>
      <c r="A487" s="112"/>
      <c r="B487" s="112"/>
      <c r="C487" s="112"/>
      <c r="D487" s="112"/>
      <c r="E487" s="130"/>
      <c r="F487" s="130"/>
      <c r="G487" s="130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>
      <c r="A488" s="112"/>
      <c r="B488" s="112"/>
      <c r="C488" s="112"/>
      <c r="D488" s="112"/>
      <c r="E488" s="130"/>
      <c r="F488" s="130"/>
      <c r="G488" s="130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>
      <c r="A489" s="112"/>
      <c r="B489" s="112"/>
      <c r="C489" s="112"/>
      <c r="D489" s="112"/>
      <c r="E489" s="130"/>
      <c r="F489" s="130"/>
      <c r="G489" s="130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>
      <c r="A490" s="112"/>
      <c r="B490" s="112"/>
      <c r="C490" s="112"/>
      <c r="D490" s="112"/>
      <c r="E490" s="130"/>
      <c r="F490" s="130"/>
      <c r="G490" s="130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>
      <c r="A491" s="112"/>
      <c r="B491" s="112"/>
      <c r="C491" s="112"/>
      <c r="D491" s="112"/>
      <c r="E491" s="130"/>
      <c r="F491" s="130"/>
      <c r="G491" s="130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>
      <c r="A492" s="112"/>
      <c r="B492" s="112"/>
      <c r="C492" s="112"/>
      <c r="D492" s="112"/>
      <c r="E492" s="130"/>
      <c r="F492" s="130"/>
      <c r="G492" s="130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>
      <c r="A493" s="112"/>
      <c r="B493" s="112"/>
      <c r="C493" s="112"/>
      <c r="D493" s="112"/>
      <c r="E493" s="130"/>
      <c r="F493" s="130"/>
      <c r="G493" s="130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>
      <c r="A494" s="112"/>
      <c r="B494" s="112"/>
      <c r="C494" s="112"/>
      <c r="D494" s="112"/>
      <c r="E494" s="130"/>
      <c r="F494" s="130"/>
      <c r="G494" s="130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>
      <c r="A495" s="112"/>
      <c r="B495" s="112"/>
      <c r="C495" s="112"/>
      <c r="D495" s="112"/>
      <c r="E495" s="130"/>
      <c r="F495" s="130"/>
      <c r="G495" s="130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>
      <c r="A496" s="112"/>
      <c r="B496" s="112"/>
      <c r="C496" s="112"/>
      <c r="D496" s="112"/>
      <c r="E496" s="130"/>
      <c r="F496" s="130"/>
      <c r="G496" s="130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>
      <c r="A497" s="112"/>
      <c r="B497" s="112"/>
      <c r="C497" s="112"/>
      <c r="D497" s="112"/>
      <c r="E497" s="130"/>
      <c r="F497" s="130"/>
      <c r="G497" s="130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>
      <c r="A498" s="112"/>
      <c r="B498" s="112"/>
      <c r="C498" s="112"/>
      <c r="D498" s="112"/>
      <c r="E498" s="130"/>
      <c r="F498" s="130"/>
      <c r="G498" s="130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>
      <c r="A499" s="112"/>
      <c r="B499" s="112"/>
      <c r="C499" s="112"/>
      <c r="D499" s="112"/>
      <c r="E499" s="130"/>
      <c r="F499" s="130"/>
      <c r="G499" s="130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>
      <c r="A500" s="112"/>
      <c r="B500" s="112"/>
      <c r="C500" s="112"/>
      <c r="D500" s="112"/>
      <c r="E500" s="130"/>
      <c r="F500" s="130"/>
      <c r="G500" s="130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>
      <c r="A501" s="112"/>
      <c r="B501" s="112"/>
      <c r="C501" s="112"/>
      <c r="D501" s="112"/>
      <c r="E501" s="130"/>
      <c r="F501" s="130"/>
      <c r="G501" s="130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>
      <c r="A502" s="112"/>
      <c r="B502" s="112"/>
      <c r="C502" s="112"/>
      <c r="D502" s="112"/>
      <c r="E502" s="130"/>
      <c r="F502" s="130"/>
      <c r="G502" s="130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>
      <c r="A503" s="112"/>
      <c r="B503" s="112"/>
      <c r="C503" s="112"/>
      <c r="D503" s="112"/>
      <c r="E503" s="130"/>
      <c r="F503" s="130"/>
      <c r="G503" s="130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>
      <c r="A504" s="112"/>
      <c r="B504" s="112"/>
      <c r="C504" s="112"/>
      <c r="D504" s="112"/>
      <c r="E504" s="130"/>
      <c r="F504" s="130"/>
      <c r="G504" s="130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>
      <c r="A505" s="112"/>
      <c r="B505" s="112"/>
      <c r="C505" s="112"/>
      <c r="D505" s="112"/>
      <c r="E505" s="130"/>
      <c r="F505" s="130"/>
      <c r="G505" s="130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>
      <c r="A506" s="112"/>
      <c r="B506" s="112"/>
      <c r="C506" s="112"/>
      <c r="D506" s="112"/>
      <c r="E506" s="130"/>
      <c r="F506" s="130"/>
      <c r="G506" s="130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>
      <c r="A507" s="112"/>
      <c r="B507" s="112"/>
      <c r="C507" s="112"/>
      <c r="D507" s="112"/>
      <c r="E507" s="130"/>
      <c r="F507" s="130"/>
      <c r="G507" s="130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>
      <c r="A508" s="112"/>
      <c r="B508" s="112"/>
      <c r="C508" s="112"/>
      <c r="D508" s="112"/>
      <c r="E508" s="130"/>
      <c r="F508" s="130"/>
      <c r="G508" s="130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>
      <c r="A509" s="112"/>
      <c r="B509" s="112"/>
      <c r="C509" s="112"/>
      <c r="D509" s="112"/>
      <c r="E509" s="130"/>
      <c r="F509" s="130"/>
      <c r="G509" s="130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>
      <c r="A510" s="112"/>
      <c r="B510" s="112"/>
      <c r="C510" s="112"/>
      <c r="D510" s="112"/>
      <c r="E510" s="130"/>
      <c r="F510" s="130"/>
      <c r="G510" s="130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>
      <c r="A511" s="112"/>
      <c r="B511" s="112"/>
      <c r="C511" s="112"/>
      <c r="D511" s="112"/>
      <c r="E511" s="130"/>
      <c r="F511" s="130"/>
      <c r="G511" s="130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>
      <c r="A512" s="112"/>
      <c r="B512" s="112"/>
      <c r="C512" s="112"/>
      <c r="D512" s="112"/>
      <c r="E512" s="130"/>
      <c r="F512" s="130"/>
      <c r="G512" s="130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>
      <c r="A513" s="112"/>
      <c r="B513" s="112"/>
      <c r="C513" s="112"/>
      <c r="D513" s="112"/>
      <c r="E513" s="130"/>
      <c r="F513" s="130"/>
      <c r="G513" s="130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>
      <c r="A514" s="112"/>
      <c r="B514" s="112"/>
      <c r="C514" s="112"/>
      <c r="D514" s="112"/>
      <c r="E514" s="130"/>
      <c r="F514" s="130"/>
      <c r="G514" s="130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>
      <c r="A515" s="112"/>
      <c r="B515" s="112"/>
      <c r="C515" s="112"/>
      <c r="D515" s="112"/>
      <c r="E515" s="130"/>
      <c r="F515" s="130"/>
      <c r="G515" s="130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>
      <c r="A516" s="112"/>
      <c r="B516" s="112"/>
      <c r="C516" s="112"/>
      <c r="D516" s="112"/>
      <c r="E516" s="130"/>
      <c r="F516" s="130"/>
      <c r="G516" s="130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>
      <c r="A517" s="112"/>
      <c r="B517" s="112"/>
      <c r="C517" s="112"/>
      <c r="D517" s="112"/>
      <c r="E517" s="130"/>
      <c r="F517" s="130"/>
      <c r="G517" s="130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>
      <c r="A518" s="112"/>
      <c r="B518" s="112"/>
      <c r="C518" s="112"/>
      <c r="D518" s="112"/>
      <c r="E518" s="130"/>
      <c r="F518" s="130"/>
      <c r="G518" s="130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>
      <c r="A519" s="112"/>
      <c r="B519" s="112"/>
      <c r="C519" s="112"/>
      <c r="D519" s="112"/>
      <c r="E519" s="130"/>
      <c r="F519" s="130"/>
      <c r="G519" s="130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>
      <c r="A520" s="112"/>
      <c r="B520" s="112"/>
      <c r="C520" s="112"/>
      <c r="D520" s="112"/>
      <c r="E520" s="130"/>
      <c r="F520" s="130"/>
      <c r="G520" s="130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>
      <c r="A521" s="112"/>
      <c r="B521" s="112"/>
      <c r="C521" s="112"/>
      <c r="D521" s="112"/>
      <c r="E521" s="130"/>
      <c r="F521" s="130"/>
      <c r="G521" s="130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>
      <c r="A522" s="112"/>
      <c r="B522" s="112"/>
      <c r="C522" s="112"/>
      <c r="D522" s="112"/>
      <c r="E522" s="130"/>
      <c r="F522" s="130"/>
      <c r="G522" s="130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>
      <c r="A523" s="112"/>
      <c r="B523" s="112"/>
      <c r="C523" s="112"/>
      <c r="D523" s="112"/>
      <c r="E523" s="130"/>
      <c r="F523" s="130"/>
      <c r="G523" s="130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>
      <c r="A524" s="112"/>
      <c r="B524" s="112"/>
      <c r="C524" s="112"/>
      <c r="D524" s="112"/>
      <c r="E524" s="130"/>
      <c r="F524" s="130"/>
      <c r="G524" s="130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>
      <c r="A525" s="112"/>
      <c r="B525" s="112"/>
      <c r="C525" s="112"/>
      <c r="D525" s="112"/>
      <c r="E525" s="130"/>
      <c r="F525" s="130"/>
      <c r="G525" s="130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>
      <c r="A526" s="112"/>
      <c r="B526" s="112"/>
      <c r="C526" s="112"/>
      <c r="D526" s="112"/>
      <c r="E526" s="130"/>
      <c r="F526" s="130"/>
      <c r="G526" s="130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>
      <c r="A527" s="112"/>
      <c r="B527" s="112"/>
      <c r="C527" s="112"/>
      <c r="D527" s="112"/>
      <c r="E527" s="130"/>
      <c r="F527" s="130"/>
      <c r="G527" s="130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>
      <c r="A528" s="112"/>
      <c r="B528" s="112"/>
      <c r="C528" s="112"/>
      <c r="D528" s="112"/>
      <c r="E528" s="130"/>
      <c r="F528" s="130"/>
      <c r="G528" s="130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>
      <c r="A529" s="112"/>
      <c r="B529" s="112"/>
      <c r="C529" s="112"/>
      <c r="D529" s="112"/>
      <c r="E529" s="130"/>
      <c r="F529" s="130"/>
      <c r="G529" s="130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>
      <c r="A530" s="112"/>
      <c r="B530" s="112"/>
      <c r="C530" s="112"/>
      <c r="D530" s="112"/>
      <c r="E530" s="130"/>
      <c r="F530" s="130"/>
      <c r="G530" s="130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>
      <c r="A531" s="112"/>
      <c r="B531" s="112"/>
      <c r="C531" s="112"/>
      <c r="D531" s="112"/>
      <c r="E531" s="130"/>
      <c r="F531" s="130"/>
      <c r="G531" s="130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>
      <c r="A532" s="112"/>
      <c r="B532" s="112"/>
      <c r="C532" s="112"/>
      <c r="D532" s="112"/>
      <c r="E532" s="130"/>
      <c r="F532" s="130"/>
      <c r="G532" s="130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>
      <c r="A533" s="112"/>
      <c r="B533" s="112"/>
      <c r="C533" s="112"/>
      <c r="D533" s="112"/>
      <c r="E533" s="130"/>
      <c r="F533" s="130"/>
      <c r="G533" s="130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>
      <c r="A534" s="112"/>
      <c r="B534" s="112"/>
      <c r="C534" s="112"/>
      <c r="D534" s="112"/>
      <c r="E534" s="130"/>
      <c r="F534" s="130"/>
      <c r="G534" s="130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>
      <c r="A535" s="112"/>
      <c r="B535" s="112"/>
      <c r="C535" s="112"/>
      <c r="D535" s="112"/>
      <c r="E535" s="130"/>
      <c r="F535" s="130"/>
      <c r="G535" s="130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>
      <c r="A536" s="112"/>
      <c r="B536" s="112"/>
      <c r="C536" s="112"/>
      <c r="D536" s="112"/>
      <c r="E536" s="130"/>
      <c r="F536" s="130"/>
      <c r="G536" s="130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>
      <c r="A537" s="112"/>
      <c r="B537" s="112"/>
      <c r="C537" s="112"/>
      <c r="D537" s="112"/>
      <c r="E537" s="130"/>
      <c r="F537" s="130"/>
      <c r="G537" s="130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>
      <c r="A538" s="112"/>
      <c r="B538" s="112"/>
      <c r="C538" s="112"/>
      <c r="D538" s="112"/>
      <c r="E538" s="130"/>
      <c r="F538" s="130"/>
      <c r="G538" s="130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>
      <c r="A539" s="112"/>
      <c r="B539" s="112"/>
      <c r="C539" s="112"/>
      <c r="D539" s="112"/>
      <c r="E539" s="130"/>
      <c r="F539" s="130"/>
      <c r="G539" s="130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>
      <c r="A540" s="112"/>
      <c r="B540" s="112"/>
      <c r="C540" s="112"/>
      <c r="D540" s="112"/>
      <c r="E540" s="130"/>
      <c r="F540" s="130"/>
      <c r="G540" s="130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>
      <c r="A541" s="112"/>
      <c r="B541" s="112"/>
      <c r="C541" s="112"/>
      <c r="D541" s="112"/>
      <c r="E541" s="130"/>
      <c r="F541" s="130"/>
      <c r="G541" s="130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>
      <c r="A542" s="112"/>
      <c r="B542" s="112"/>
      <c r="C542" s="112"/>
      <c r="D542" s="112"/>
      <c r="E542" s="130"/>
      <c r="F542" s="130"/>
      <c r="G542" s="130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>
      <c r="A543" s="112"/>
      <c r="B543" s="112"/>
      <c r="C543" s="112"/>
      <c r="D543" s="112"/>
      <c r="E543" s="130"/>
      <c r="F543" s="130"/>
      <c r="G543" s="130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>
      <c r="A544" s="112"/>
      <c r="B544" s="112"/>
      <c r="C544" s="112"/>
      <c r="D544" s="112"/>
      <c r="E544" s="130"/>
      <c r="F544" s="130"/>
      <c r="G544" s="130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>
      <c r="A545" s="112"/>
      <c r="B545" s="112"/>
      <c r="C545" s="112"/>
      <c r="D545" s="112"/>
      <c r="E545" s="130"/>
      <c r="F545" s="130"/>
      <c r="G545" s="130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>
      <c r="A546" s="112"/>
      <c r="B546" s="112"/>
      <c r="C546" s="112"/>
      <c r="D546" s="112"/>
      <c r="E546" s="130"/>
      <c r="F546" s="130"/>
      <c r="G546" s="130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>
      <c r="A547" s="112"/>
      <c r="B547" s="112"/>
      <c r="C547" s="112"/>
      <c r="D547" s="112"/>
      <c r="E547" s="130"/>
      <c r="F547" s="130"/>
      <c r="G547" s="130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>
      <c r="A548" s="112"/>
      <c r="B548" s="112"/>
      <c r="C548" s="112"/>
      <c r="D548" s="112"/>
      <c r="E548" s="130"/>
      <c r="F548" s="130"/>
      <c r="G548" s="130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>
      <c r="A549" s="112"/>
      <c r="B549" s="112"/>
      <c r="C549" s="112"/>
      <c r="D549" s="112"/>
      <c r="E549" s="130"/>
      <c r="F549" s="130"/>
      <c r="G549" s="130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>
      <c r="A550" s="112"/>
      <c r="B550" s="112"/>
      <c r="C550" s="112"/>
      <c r="D550" s="112"/>
      <c r="E550" s="130"/>
      <c r="F550" s="130"/>
      <c r="G550" s="130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>
      <c r="A551" s="112"/>
      <c r="B551" s="112"/>
      <c r="C551" s="112"/>
      <c r="D551" s="112"/>
      <c r="E551" s="130"/>
      <c r="F551" s="130"/>
      <c r="G551" s="130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>
      <c r="A552" s="112"/>
      <c r="B552" s="112"/>
      <c r="C552" s="112"/>
      <c r="D552" s="112"/>
      <c r="E552" s="130"/>
      <c r="F552" s="130"/>
      <c r="G552" s="130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>
      <c r="A553" s="112"/>
      <c r="B553" s="112"/>
      <c r="C553" s="112"/>
      <c r="D553" s="112"/>
      <c r="E553" s="130"/>
      <c r="F553" s="130"/>
      <c r="G553" s="130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>
      <c r="A554" s="112"/>
      <c r="B554" s="112"/>
      <c r="C554" s="112"/>
      <c r="D554" s="112"/>
      <c r="E554" s="130"/>
      <c r="F554" s="130"/>
      <c r="G554" s="130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>
      <c r="A555" s="112"/>
      <c r="B555" s="112"/>
      <c r="C555" s="112"/>
      <c r="D555" s="112"/>
      <c r="E555" s="130"/>
      <c r="F555" s="130"/>
      <c r="G555" s="130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>
      <c r="A556" s="112"/>
      <c r="B556" s="112"/>
      <c r="C556" s="112"/>
      <c r="D556" s="112"/>
      <c r="E556" s="130"/>
      <c r="F556" s="130"/>
      <c r="G556" s="130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>
      <c r="A557" s="112"/>
      <c r="B557" s="112"/>
      <c r="C557" s="112"/>
      <c r="D557" s="112"/>
      <c r="E557" s="130"/>
      <c r="F557" s="130"/>
      <c r="G557" s="130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>
      <c r="A558" s="112"/>
      <c r="B558" s="112"/>
      <c r="C558" s="112"/>
      <c r="D558" s="112"/>
      <c r="E558" s="130"/>
      <c r="F558" s="130"/>
      <c r="G558" s="130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>
      <c r="A559" s="112"/>
      <c r="B559" s="112"/>
      <c r="C559" s="112"/>
      <c r="D559" s="112"/>
      <c r="E559" s="130"/>
      <c r="F559" s="130"/>
      <c r="G559" s="130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>
      <c r="A560" s="112"/>
      <c r="B560" s="112"/>
      <c r="C560" s="112"/>
      <c r="D560" s="112"/>
      <c r="E560" s="130"/>
      <c r="F560" s="130"/>
      <c r="G560" s="130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>
      <c r="A561" s="112"/>
      <c r="B561" s="112"/>
      <c r="C561" s="112"/>
      <c r="D561" s="112"/>
      <c r="E561" s="130"/>
      <c r="F561" s="130"/>
      <c r="G561" s="130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>
      <c r="A562" s="112"/>
      <c r="B562" s="112"/>
      <c r="C562" s="112"/>
      <c r="D562" s="112"/>
      <c r="E562" s="130"/>
      <c r="F562" s="130"/>
      <c r="G562" s="130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>
      <c r="A563" s="112"/>
      <c r="B563" s="112"/>
      <c r="C563" s="112"/>
      <c r="D563" s="112"/>
      <c r="E563" s="130"/>
      <c r="F563" s="130"/>
      <c r="G563" s="130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>
      <c r="A564" s="112"/>
      <c r="B564" s="112"/>
      <c r="C564" s="112"/>
      <c r="D564" s="112"/>
      <c r="E564" s="130"/>
      <c r="F564" s="130"/>
      <c r="G564" s="130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>
      <c r="A565" s="112"/>
      <c r="B565" s="112"/>
      <c r="C565" s="112"/>
      <c r="D565" s="112"/>
      <c r="E565" s="130"/>
      <c r="F565" s="130"/>
      <c r="G565" s="130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>
      <c r="A566" s="112"/>
      <c r="B566" s="112"/>
      <c r="C566" s="112"/>
      <c r="D566" s="112"/>
      <c r="E566" s="130"/>
      <c r="F566" s="130"/>
      <c r="G566" s="130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>
      <c r="A567" s="112"/>
      <c r="B567" s="112"/>
      <c r="C567" s="112"/>
      <c r="D567" s="112"/>
      <c r="E567" s="130"/>
      <c r="F567" s="130"/>
      <c r="G567" s="130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>
      <c r="A568" s="112"/>
      <c r="B568" s="112"/>
      <c r="C568" s="112"/>
      <c r="D568" s="112"/>
      <c r="E568" s="130"/>
      <c r="F568" s="130"/>
      <c r="G568" s="130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>
      <c r="A569" s="112"/>
      <c r="B569" s="112"/>
      <c r="C569" s="112"/>
      <c r="D569" s="112"/>
      <c r="E569" s="130"/>
      <c r="F569" s="130"/>
      <c r="G569" s="130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>
      <c r="A570" s="112"/>
      <c r="B570" s="112"/>
      <c r="C570" s="112"/>
      <c r="D570" s="112"/>
      <c r="E570" s="130"/>
      <c r="F570" s="130"/>
      <c r="G570" s="130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>
      <c r="A571" s="112"/>
      <c r="B571" s="112"/>
      <c r="C571" s="112"/>
      <c r="D571" s="112"/>
      <c r="E571" s="130"/>
      <c r="F571" s="130"/>
      <c r="G571" s="130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>
      <c r="A572" s="112"/>
      <c r="B572" s="112"/>
      <c r="C572" s="112"/>
      <c r="D572" s="112"/>
      <c r="E572" s="130"/>
      <c r="F572" s="130"/>
      <c r="G572" s="130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>
      <c r="A573" s="112"/>
      <c r="B573" s="112"/>
      <c r="C573" s="112"/>
      <c r="D573" s="112"/>
      <c r="E573" s="130"/>
      <c r="F573" s="130"/>
      <c r="G573" s="130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>
      <c r="A574" s="112"/>
      <c r="B574" s="112"/>
      <c r="C574" s="112"/>
      <c r="D574" s="112"/>
      <c r="E574" s="130"/>
      <c r="F574" s="130"/>
      <c r="G574" s="130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>
      <c r="A575" s="112"/>
      <c r="B575" s="112"/>
      <c r="C575" s="112"/>
      <c r="D575" s="112"/>
      <c r="E575" s="130"/>
      <c r="F575" s="130"/>
      <c r="G575" s="130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>
      <c r="A576" s="112"/>
      <c r="B576" s="112"/>
      <c r="C576" s="112"/>
      <c r="D576" s="112"/>
      <c r="E576" s="130"/>
      <c r="F576" s="130"/>
      <c r="G576" s="130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>
      <c r="A577" s="112"/>
      <c r="B577" s="112"/>
      <c r="C577" s="112"/>
      <c r="D577" s="112"/>
      <c r="E577" s="130"/>
      <c r="F577" s="130"/>
      <c r="G577" s="130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>
      <c r="A578" s="112"/>
      <c r="B578" s="112"/>
      <c r="C578" s="112"/>
      <c r="D578" s="112"/>
      <c r="E578" s="130"/>
      <c r="F578" s="130"/>
      <c r="G578" s="130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>
      <c r="A579" s="112"/>
      <c r="B579" s="112"/>
      <c r="C579" s="112"/>
      <c r="D579" s="112"/>
      <c r="E579" s="130"/>
      <c r="F579" s="130"/>
      <c r="G579" s="130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>
      <c r="A580" s="112"/>
      <c r="B580" s="112"/>
      <c r="C580" s="112"/>
      <c r="D580" s="112"/>
      <c r="E580" s="130"/>
      <c r="F580" s="130"/>
      <c r="G580" s="130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>
      <c r="A581" s="112"/>
      <c r="B581" s="112"/>
      <c r="C581" s="112"/>
      <c r="D581" s="112"/>
      <c r="E581" s="130"/>
      <c r="F581" s="130"/>
      <c r="G581" s="130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>
      <c r="A582" s="112"/>
      <c r="B582" s="112"/>
      <c r="C582" s="112"/>
      <c r="D582" s="112"/>
      <c r="E582" s="130"/>
      <c r="F582" s="130"/>
      <c r="G582" s="130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>
      <c r="A583" s="112"/>
      <c r="B583" s="112"/>
      <c r="C583" s="112"/>
      <c r="D583" s="112"/>
      <c r="E583" s="130"/>
      <c r="F583" s="130"/>
      <c r="G583" s="130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>
      <c r="A584" s="112"/>
      <c r="B584" s="112"/>
      <c r="C584" s="112"/>
      <c r="D584" s="112"/>
      <c r="E584" s="130"/>
      <c r="F584" s="130"/>
      <c r="G584" s="130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>
      <c r="A585" s="112"/>
      <c r="B585" s="112"/>
      <c r="C585" s="112"/>
      <c r="D585" s="112"/>
      <c r="E585" s="130"/>
      <c r="F585" s="130"/>
      <c r="G585" s="130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>
      <c r="A586" s="112"/>
      <c r="B586" s="112"/>
      <c r="C586" s="112"/>
      <c r="D586" s="112"/>
      <c r="E586" s="130"/>
      <c r="F586" s="130"/>
      <c r="G586" s="130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>
      <c r="A587" s="112"/>
      <c r="B587" s="112"/>
      <c r="C587" s="112"/>
      <c r="D587" s="112"/>
      <c r="E587" s="130"/>
      <c r="F587" s="130"/>
      <c r="G587" s="130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>
      <c r="A588" s="112"/>
      <c r="B588" s="112"/>
      <c r="C588" s="112"/>
      <c r="D588" s="112"/>
      <c r="E588" s="130"/>
      <c r="F588" s="130"/>
      <c r="G588" s="130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>
      <c r="A589" s="112"/>
      <c r="B589" s="112"/>
      <c r="C589" s="112"/>
      <c r="D589" s="112"/>
      <c r="E589" s="130"/>
      <c r="F589" s="130"/>
      <c r="G589" s="130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>
      <c r="A590" s="112"/>
      <c r="B590" s="112"/>
      <c r="C590" s="112"/>
      <c r="D590" s="112"/>
      <c r="E590" s="130"/>
      <c r="F590" s="130"/>
      <c r="G590" s="130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>
      <c r="A591" s="112"/>
      <c r="B591" s="112"/>
      <c r="C591" s="112"/>
      <c r="D591" s="112"/>
      <c r="E591" s="130"/>
      <c r="F591" s="130"/>
      <c r="G591" s="130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>
      <c r="A592" s="112"/>
      <c r="B592" s="112"/>
      <c r="C592" s="112"/>
      <c r="D592" s="112"/>
      <c r="E592" s="130"/>
      <c r="F592" s="130"/>
      <c r="G592" s="130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>
      <c r="A593" s="112"/>
      <c r="B593" s="112"/>
      <c r="C593" s="112"/>
      <c r="D593" s="112"/>
      <c r="E593" s="130"/>
      <c r="F593" s="130"/>
      <c r="G593" s="130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>
      <c r="A594" s="112"/>
      <c r="B594" s="112"/>
      <c r="C594" s="112"/>
      <c r="D594" s="112"/>
      <c r="E594" s="130"/>
      <c r="F594" s="130"/>
      <c r="G594" s="130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>
      <c r="A595" s="112"/>
      <c r="B595" s="112"/>
      <c r="C595" s="112"/>
      <c r="D595" s="112"/>
      <c r="E595" s="130"/>
      <c r="F595" s="130"/>
      <c r="G595" s="130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>
      <c r="A596" s="112"/>
      <c r="B596" s="112"/>
      <c r="C596" s="112"/>
      <c r="D596" s="112"/>
      <c r="E596" s="130"/>
      <c r="F596" s="130"/>
      <c r="G596" s="130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>
      <c r="A597" s="112"/>
      <c r="B597" s="112"/>
      <c r="C597" s="112"/>
      <c r="D597" s="112"/>
      <c r="E597" s="130"/>
      <c r="F597" s="130"/>
      <c r="G597" s="130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>
      <c r="A598" s="112"/>
      <c r="B598" s="112"/>
      <c r="C598" s="112"/>
      <c r="D598" s="112"/>
      <c r="E598" s="130"/>
      <c r="F598" s="130"/>
      <c r="G598" s="130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>
      <c r="A599" s="112"/>
      <c r="B599" s="112"/>
      <c r="C599" s="112"/>
      <c r="D599" s="112"/>
      <c r="E599" s="130"/>
      <c r="F599" s="130"/>
      <c r="G599" s="130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>
      <c r="A600" s="112"/>
      <c r="B600" s="112"/>
      <c r="C600" s="112"/>
      <c r="D600" s="112"/>
      <c r="E600" s="130"/>
      <c r="F600" s="130"/>
      <c r="G600" s="130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>
      <c r="A601" s="112"/>
      <c r="B601" s="112"/>
      <c r="C601" s="112"/>
      <c r="D601" s="112"/>
      <c r="E601" s="130"/>
      <c r="F601" s="130"/>
      <c r="G601" s="130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>
      <c r="A602" s="112"/>
      <c r="B602" s="112"/>
      <c r="C602" s="112"/>
      <c r="D602" s="112"/>
      <c r="E602" s="130"/>
      <c r="F602" s="130"/>
      <c r="G602" s="130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>
      <c r="A603" s="112"/>
      <c r="B603" s="112"/>
      <c r="C603" s="112"/>
      <c r="D603" s="112"/>
      <c r="E603" s="130"/>
      <c r="F603" s="130"/>
      <c r="G603" s="130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>
      <c r="A604" s="112"/>
      <c r="B604" s="112"/>
      <c r="C604" s="112"/>
      <c r="D604" s="112"/>
      <c r="E604" s="130"/>
      <c r="F604" s="130"/>
      <c r="G604" s="130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>
      <c r="A605" s="112"/>
      <c r="B605" s="112"/>
      <c r="C605" s="112"/>
      <c r="D605" s="112"/>
      <c r="E605" s="130"/>
      <c r="F605" s="130"/>
      <c r="G605" s="130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>
      <c r="A606" s="112"/>
      <c r="B606" s="112"/>
      <c r="C606" s="112"/>
      <c r="D606" s="112"/>
      <c r="E606" s="130"/>
      <c r="F606" s="130"/>
      <c r="G606" s="130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>
      <c r="A607" s="112"/>
      <c r="B607" s="112"/>
      <c r="C607" s="112"/>
      <c r="D607" s="112"/>
      <c r="E607" s="130"/>
      <c r="F607" s="130"/>
      <c r="G607" s="130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>
      <c r="A608" s="112"/>
      <c r="B608" s="112"/>
      <c r="C608" s="112"/>
      <c r="D608" s="112"/>
      <c r="E608" s="130"/>
      <c r="F608" s="130"/>
      <c r="G608" s="130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>
      <c r="A609" s="112"/>
      <c r="B609" s="112"/>
      <c r="C609" s="112"/>
      <c r="D609" s="112"/>
      <c r="E609" s="130"/>
      <c r="F609" s="130"/>
      <c r="G609" s="130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>
      <c r="A610" s="112"/>
      <c r="B610" s="112"/>
      <c r="C610" s="112"/>
      <c r="D610" s="112"/>
      <c r="E610" s="130"/>
      <c r="F610" s="130"/>
      <c r="G610" s="130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>
      <c r="A611" s="112"/>
      <c r="B611" s="112"/>
      <c r="C611" s="112"/>
      <c r="D611" s="112"/>
      <c r="E611" s="130"/>
      <c r="F611" s="130"/>
      <c r="G611" s="130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>
      <c r="A612" s="112"/>
      <c r="B612" s="112"/>
      <c r="C612" s="112"/>
      <c r="D612" s="112"/>
      <c r="E612" s="130"/>
      <c r="F612" s="130"/>
      <c r="G612" s="130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>
      <c r="A613" s="112"/>
      <c r="B613" s="112"/>
      <c r="C613" s="112"/>
      <c r="D613" s="112"/>
      <c r="E613" s="130"/>
      <c r="F613" s="130"/>
      <c r="G613" s="130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>
      <c r="A614" s="112"/>
      <c r="B614" s="112"/>
      <c r="C614" s="112"/>
      <c r="D614" s="112"/>
      <c r="E614" s="130"/>
      <c r="F614" s="130"/>
      <c r="G614" s="130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>
      <c r="A615" s="112"/>
      <c r="B615" s="112"/>
      <c r="C615" s="112"/>
      <c r="D615" s="112"/>
      <c r="E615" s="130"/>
      <c r="F615" s="130"/>
      <c r="G615" s="130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>
      <c r="A616" s="112"/>
      <c r="B616" s="112"/>
      <c r="C616" s="112"/>
      <c r="D616" s="112"/>
      <c r="E616" s="130"/>
      <c r="F616" s="130"/>
      <c r="G616" s="130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>
      <c r="A617" s="112"/>
      <c r="B617" s="112"/>
      <c r="C617" s="112"/>
      <c r="D617" s="112"/>
      <c r="E617" s="130"/>
      <c r="F617" s="130"/>
      <c r="G617" s="130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>
      <c r="A618" s="112"/>
      <c r="B618" s="112"/>
      <c r="C618" s="112"/>
      <c r="D618" s="112"/>
      <c r="E618" s="130"/>
      <c r="F618" s="130"/>
      <c r="G618" s="130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>
      <c r="A619" s="112"/>
      <c r="B619" s="112"/>
      <c r="C619" s="112"/>
      <c r="D619" s="112"/>
      <c r="E619" s="130"/>
      <c r="F619" s="130"/>
      <c r="G619" s="130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>
      <c r="A620" s="112"/>
      <c r="B620" s="112"/>
      <c r="C620" s="112"/>
      <c r="D620" s="112"/>
      <c r="E620" s="130"/>
      <c r="F620" s="130"/>
      <c r="G620" s="130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>
      <c r="A621" s="112"/>
      <c r="B621" s="112"/>
      <c r="C621" s="112"/>
      <c r="D621" s="112"/>
      <c r="E621" s="130"/>
      <c r="F621" s="130"/>
      <c r="G621" s="130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>
      <c r="A622" s="112"/>
      <c r="B622" s="112"/>
      <c r="C622" s="112"/>
      <c r="D622" s="112"/>
      <c r="E622" s="130"/>
      <c r="F622" s="130"/>
      <c r="G622" s="130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>
      <c r="A623" s="112"/>
      <c r="B623" s="112"/>
      <c r="C623" s="112"/>
      <c r="D623" s="112"/>
      <c r="E623" s="130"/>
      <c r="F623" s="130"/>
      <c r="G623" s="130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>
      <c r="A624" s="112"/>
      <c r="B624" s="112"/>
      <c r="C624" s="112"/>
      <c r="D624" s="112"/>
      <c r="E624" s="130"/>
      <c r="F624" s="130"/>
      <c r="G624" s="130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>
      <c r="A625" s="112"/>
      <c r="B625" s="112"/>
      <c r="C625" s="112"/>
      <c r="D625" s="112"/>
      <c r="E625" s="130"/>
      <c r="F625" s="130"/>
      <c r="G625" s="130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>
      <c r="A626" s="112"/>
      <c r="B626" s="112"/>
      <c r="C626" s="112"/>
      <c r="D626" s="112"/>
      <c r="E626" s="130"/>
      <c r="F626" s="130"/>
      <c r="G626" s="130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>
      <c r="A627" s="112"/>
      <c r="B627" s="112"/>
      <c r="C627" s="112"/>
      <c r="D627" s="112"/>
      <c r="E627" s="130"/>
      <c r="F627" s="130"/>
      <c r="G627" s="130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>
      <c r="A628" s="112"/>
      <c r="B628" s="112"/>
      <c r="C628" s="112"/>
      <c r="D628" s="112"/>
      <c r="E628" s="130"/>
      <c r="F628" s="130"/>
      <c r="G628" s="130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>
      <c r="A629" s="112"/>
      <c r="B629" s="112"/>
      <c r="C629" s="112"/>
      <c r="D629" s="112"/>
      <c r="E629" s="130"/>
      <c r="F629" s="130"/>
      <c r="G629" s="130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>
      <c r="A630" s="112"/>
      <c r="B630" s="112"/>
      <c r="C630" s="112"/>
      <c r="D630" s="112"/>
      <c r="E630" s="130"/>
      <c r="F630" s="130"/>
      <c r="G630" s="130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>
      <c r="A631" s="112"/>
      <c r="B631" s="112"/>
      <c r="C631" s="112"/>
      <c r="D631" s="112"/>
      <c r="E631" s="130"/>
      <c r="F631" s="130"/>
      <c r="G631" s="130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>
      <c r="A632" s="112"/>
      <c r="B632" s="112"/>
      <c r="C632" s="112"/>
      <c r="D632" s="112"/>
      <c r="E632" s="130"/>
      <c r="F632" s="130"/>
      <c r="G632" s="130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>
      <c r="A633" s="112"/>
      <c r="B633" s="112"/>
      <c r="C633" s="112"/>
      <c r="D633" s="112"/>
      <c r="E633" s="130"/>
      <c r="F633" s="130"/>
      <c r="G633" s="130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>
      <c r="A634" s="112"/>
      <c r="B634" s="112"/>
      <c r="C634" s="112"/>
      <c r="D634" s="112"/>
      <c r="E634" s="130"/>
      <c r="F634" s="130"/>
      <c r="G634" s="130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>
      <c r="A635" s="112"/>
      <c r="B635" s="112"/>
      <c r="C635" s="112"/>
      <c r="D635" s="112"/>
      <c r="E635" s="130"/>
      <c r="F635" s="130"/>
      <c r="G635" s="130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>
      <c r="A636" s="112"/>
      <c r="B636" s="112"/>
      <c r="C636" s="112"/>
      <c r="D636" s="112"/>
      <c r="E636" s="130"/>
      <c r="F636" s="130"/>
      <c r="G636" s="130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>
      <c r="A637" s="112"/>
      <c r="B637" s="112"/>
      <c r="C637" s="112"/>
      <c r="D637" s="112"/>
      <c r="E637" s="130"/>
      <c r="F637" s="130"/>
      <c r="G637" s="130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>
      <c r="A638" s="112"/>
      <c r="B638" s="112"/>
      <c r="C638" s="112"/>
      <c r="D638" s="112"/>
      <c r="E638" s="130"/>
      <c r="F638" s="130"/>
      <c r="G638" s="130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>
      <c r="A639" s="112"/>
      <c r="B639" s="112"/>
      <c r="C639" s="112"/>
      <c r="D639" s="112"/>
      <c r="E639" s="130"/>
      <c r="F639" s="130"/>
      <c r="G639" s="130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>
      <c r="A640" s="112"/>
      <c r="B640" s="112"/>
      <c r="C640" s="112"/>
      <c r="D640" s="112"/>
      <c r="E640" s="130"/>
      <c r="F640" s="130"/>
      <c r="G640" s="130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>
      <c r="A641" s="112"/>
      <c r="B641" s="112"/>
      <c r="C641" s="112"/>
      <c r="D641" s="112"/>
      <c r="E641" s="130"/>
      <c r="F641" s="130"/>
      <c r="G641" s="130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>
      <c r="A642" s="112"/>
      <c r="B642" s="112"/>
      <c r="C642" s="112"/>
      <c r="D642" s="112"/>
      <c r="E642" s="130"/>
      <c r="F642" s="130"/>
      <c r="G642" s="130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>
      <c r="A643" s="112"/>
      <c r="B643" s="112"/>
      <c r="C643" s="112"/>
      <c r="D643" s="112"/>
      <c r="E643" s="130"/>
      <c r="F643" s="130"/>
      <c r="G643" s="130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>
      <c r="A644" s="112"/>
      <c r="B644" s="112"/>
      <c r="C644" s="112"/>
      <c r="D644" s="112"/>
      <c r="E644" s="130"/>
      <c r="F644" s="130"/>
      <c r="G644" s="130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>
      <c r="A645" s="112"/>
      <c r="B645" s="112"/>
      <c r="C645" s="112"/>
      <c r="D645" s="112"/>
      <c r="E645" s="130"/>
      <c r="F645" s="130"/>
      <c r="G645" s="130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>
      <c r="A646" s="112"/>
      <c r="B646" s="112"/>
      <c r="C646" s="112"/>
      <c r="D646" s="112"/>
      <c r="E646" s="130"/>
      <c r="F646" s="130"/>
      <c r="G646" s="130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>
      <c r="A647" s="112"/>
      <c r="B647" s="112"/>
      <c r="C647" s="112"/>
      <c r="D647" s="112"/>
      <c r="E647" s="130"/>
      <c r="F647" s="130"/>
      <c r="G647" s="130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>
      <c r="A648" s="112"/>
      <c r="B648" s="112"/>
      <c r="C648" s="112"/>
      <c r="D648" s="112"/>
      <c r="E648" s="130"/>
      <c r="F648" s="130"/>
      <c r="G648" s="130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>
      <c r="A649" s="112"/>
      <c r="B649" s="112"/>
      <c r="C649" s="112"/>
      <c r="D649" s="112"/>
      <c r="E649" s="130"/>
      <c r="F649" s="130"/>
      <c r="G649" s="130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>
      <c r="A650" s="112"/>
      <c r="B650" s="112"/>
      <c r="C650" s="112"/>
      <c r="D650" s="112"/>
      <c r="E650" s="130"/>
      <c r="F650" s="130"/>
      <c r="G650" s="130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>
      <c r="A651" s="112"/>
      <c r="B651" s="112"/>
      <c r="C651" s="112"/>
      <c r="D651" s="112"/>
      <c r="E651" s="130"/>
      <c r="F651" s="130"/>
      <c r="G651" s="130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>
      <c r="A652" s="112"/>
      <c r="B652" s="112"/>
      <c r="C652" s="112"/>
      <c r="D652" s="112"/>
      <c r="E652" s="130"/>
      <c r="F652" s="130"/>
      <c r="G652" s="130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>
      <c r="A653" s="112"/>
      <c r="B653" s="112"/>
      <c r="C653" s="112"/>
      <c r="D653" s="112"/>
      <c r="E653" s="130"/>
      <c r="F653" s="130"/>
      <c r="G653" s="130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>
      <c r="A654" s="112"/>
      <c r="B654" s="112"/>
      <c r="C654" s="112"/>
      <c r="D654" s="112"/>
      <c r="E654" s="130"/>
      <c r="F654" s="130"/>
      <c r="G654" s="130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>
      <c r="A655" s="112"/>
      <c r="B655" s="112"/>
      <c r="C655" s="112"/>
      <c r="D655" s="112"/>
      <c r="E655" s="130"/>
      <c r="F655" s="130"/>
      <c r="G655" s="130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>
      <c r="A656" s="112"/>
      <c r="B656" s="112"/>
      <c r="C656" s="112"/>
      <c r="D656" s="112"/>
      <c r="E656" s="130"/>
      <c r="F656" s="130"/>
      <c r="G656" s="130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>
      <c r="A657" s="112"/>
      <c r="B657" s="112"/>
      <c r="C657" s="112"/>
      <c r="D657" s="112"/>
      <c r="E657" s="130"/>
      <c r="F657" s="130"/>
      <c r="G657" s="130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>
      <c r="A658" s="112"/>
      <c r="B658" s="112"/>
      <c r="C658" s="112"/>
      <c r="D658" s="112"/>
      <c r="E658" s="130"/>
      <c r="F658" s="130"/>
      <c r="G658" s="130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>
      <c r="A659" s="112"/>
      <c r="B659" s="112"/>
      <c r="C659" s="112"/>
      <c r="D659" s="112"/>
      <c r="E659" s="130"/>
      <c r="F659" s="130"/>
      <c r="G659" s="130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>
      <c r="A660" s="112"/>
      <c r="B660" s="112"/>
      <c r="C660" s="112"/>
      <c r="D660" s="112"/>
      <c r="E660" s="130"/>
      <c r="F660" s="130"/>
      <c r="G660" s="130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>
      <c r="A661" s="112"/>
      <c r="B661" s="112"/>
      <c r="C661" s="112"/>
      <c r="D661" s="112"/>
      <c r="E661" s="130"/>
      <c r="F661" s="130"/>
      <c r="G661" s="130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>
      <c r="A662" s="112"/>
      <c r="B662" s="112"/>
      <c r="C662" s="112"/>
      <c r="D662" s="112"/>
      <c r="E662" s="130"/>
      <c r="F662" s="130"/>
      <c r="G662" s="130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>
      <c r="A663" s="112"/>
      <c r="B663" s="112"/>
      <c r="C663" s="112"/>
      <c r="D663" s="112"/>
      <c r="E663" s="130"/>
      <c r="F663" s="130"/>
      <c r="G663" s="130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>
      <c r="A664" s="112"/>
      <c r="B664" s="112"/>
      <c r="C664" s="112"/>
      <c r="D664" s="112"/>
      <c r="E664" s="130"/>
      <c r="F664" s="130"/>
      <c r="G664" s="130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>
      <c r="A665" s="112"/>
      <c r="B665" s="112"/>
      <c r="C665" s="112"/>
      <c r="D665" s="112"/>
      <c r="E665" s="130"/>
      <c r="F665" s="130"/>
      <c r="G665" s="130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>
      <c r="A666" s="112"/>
      <c r="B666" s="112"/>
      <c r="C666" s="112"/>
      <c r="D666" s="112"/>
      <c r="E666" s="130"/>
      <c r="F666" s="130"/>
      <c r="G666" s="130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>
      <c r="A667" s="112"/>
      <c r="B667" s="112"/>
      <c r="C667" s="112"/>
      <c r="D667" s="112"/>
      <c r="E667" s="130"/>
      <c r="F667" s="130"/>
      <c r="G667" s="130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>
      <c r="A668" s="112"/>
      <c r="B668" s="112"/>
      <c r="C668" s="112"/>
      <c r="D668" s="112"/>
      <c r="E668" s="130"/>
      <c r="F668" s="130"/>
      <c r="G668" s="130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>
      <c r="A669" s="112"/>
      <c r="B669" s="112"/>
      <c r="C669" s="112"/>
      <c r="D669" s="112"/>
      <c r="E669" s="130"/>
      <c r="F669" s="130"/>
      <c r="G669" s="130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>
      <c r="A670" s="112"/>
      <c r="B670" s="112"/>
      <c r="C670" s="112"/>
      <c r="D670" s="112"/>
      <c r="E670" s="130"/>
      <c r="F670" s="130"/>
      <c r="G670" s="130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>
      <c r="A671" s="112"/>
      <c r="B671" s="112"/>
      <c r="C671" s="112"/>
      <c r="D671" s="112"/>
      <c r="E671" s="130"/>
      <c r="F671" s="130"/>
      <c r="G671" s="130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>
      <c r="A672" s="112"/>
      <c r="B672" s="112"/>
      <c r="C672" s="112"/>
      <c r="D672" s="112"/>
      <c r="E672" s="130"/>
      <c r="F672" s="130"/>
      <c r="G672" s="130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>
      <c r="A673" s="112"/>
      <c r="B673" s="112"/>
      <c r="C673" s="112"/>
      <c r="D673" s="112"/>
      <c r="E673" s="130"/>
      <c r="F673" s="130"/>
      <c r="G673" s="130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>
      <c r="A674" s="112"/>
      <c r="B674" s="112"/>
      <c r="C674" s="112"/>
      <c r="D674" s="112"/>
      <c r="E674" s="130"/>
      <c r="F674" s="130"/>
      <c r="G674" s="130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>
      <c r="A675" s="112"/>
      <c r="B675" s="112"/>
      <c r="C675" s="112"/>
      <c r="D675" s="112"/>
      <c r="E675" s="130"/>
      <c r="F675" s="130"/>
      <c r="G675" s="130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>
      <c r="A676" s="112"/>
      <c r="B676" s="112"/>
      <c r="C676" s="112"/>
      <c r="D676" s="112"/>
      <c r="E676" s="130"/>
      <c r="F676" s="130"/>
      <c r="G676" s="130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>
      <c r="A677" s="112"/>
      <c r="B677" s="112"/>
      <c r="C677" s="112"/>
      <c r="D677" s="112"/>
      <c r="E677" s="130"/>
      <c r="F677" s="130"/>
      <c r="G677" s="130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>
      <c r="A678" s="112"/>
      <c r="B678" s="112"/>
      <c r="C678" s="112"/>
      <c r="D678" s="112"/>
      <c r="E678" s="130"/>
      <c r="F678" s="130"/>
      <c r="G678" s="130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>
      <c r="A679" s="112"/>
      <c r="B679" s="112"/>
      <c r="C679" s="112"/>
      <c r="D679" s="112"/>
      <c r="E679" s="130"/>
      <c r="F679" s="130"/>
      <c r="G679" s="130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>
      <c r="A680" s="112"/>
      <c r="B680" s="112"/>
      <c r="C680" s="112"/>
      <c r="D680" s="112"/>
      <c r="E680" s="130"/>
      <c r="F680" s="130"/>
      <c r="G680" s="130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>
      <c r="A681" s="112"/>
      <c r="B681" s="112"/>
      <c r="C681" s="112"/>
      <c r="D681" s="112"/>
      <c r="E681" s="130"/>
      <c r="F681" s="130"/>
      <c r="G681" s="130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>
      <c r="A682" s="112"/>
      <c r="B682" s="112"/>
      <c r="C682" s="112"/>
      <c r="D682" s="112"/>
      <c r="E682" s="130"/>
      <c r="F682" s="130"/>
      <c r="G682" s="130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>
      <c r="A683" s="112"/>
      <c r="B683" s="112"/>
      <c r="C683" s="112"/>
      <c r="D683" s="112"/>
      <c r="E683" s="130"/>
      <c r="F683" s="130"/>
      <c r="G683" s="130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>
      <c r="A684" s="112"/>
      <c r="B684" s="112"/>
      <c r="C684" s="112"/>
      <c r="D684" s="112"/>
      <c r="E684" s="130"/>
      <c r="F684" s="130"/>
      <c r="G684" s="130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>
      <c r="A685" s="112"/>
      <c r="B685" s="112"/>
      <c r="C685" s="112"/>
      <c r="D685" s="112"/>
      <c r="E685" s="130"/>
      <c r="F685" s="130"/>
      <c r="G685" s="130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>
      <c r="A686" s="112"/>
      <c r="B686" s="112"/>
      <c r="C686" s="112"/>
      <c r="D686" s="112"/>
      <c r="E686" s="130"/>
      <c r="F686" s="130"/>
      <c r="G686" s="130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>
      <c r="A687" s="112"/>
      <c r="B687" s="112"/>
      <c r="C687" s="112"/>
      <c r="D687" s="112"/>
      <c r="E687" s="130"/>
      <c r="F687" s="130"/>
      <c r="G687" s="130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>
      <c r="A688" s="112"/>
      <c r="B688" s="112"/>
      <c r="C688" s="112"/>
      <c r="D688" s="112"/>
      <c r="E688" s="130"/>
      <c r="F688" s="130"/>
      <c r="G688" s="130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>
      <c r="A689" s="112"/>
      <c r="B689" s="112"/>
      <c r="C689" s="112"/>
      <c r="D689" s="112"/>
      <c r="E689" s="130"/>
      <c r="F689" s="130"/>
      <c r="G689" s="130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>
      <c r="A690" s="112"/>
      <c r="B690" s="112"/>
      <c r="C690" s="112"/>
      <c r="D690" s="112"/>
      <c r="E690" s="130"/>
      <c r="F690" s="130"/>
      <c r="G690" s="130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>
      <c r="A691" s="112"/>
      <c r="B691" s="112"/>
      <c r="C691" s="112"/>
      <c r="D691" s="112"/>
      <c r="E691" s="130"/>
      <c r="F691" s="130"/>
      <c r="G691" s="130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>
      <c r="A692" s="112"/>
      <c r="B692" s="112"/>
      <c r="C692" s="112"/>
      <c r="D692" s="112"/>
      <c r="E692" s="130"/>
      <c r="F692" s="130"/>
      <c r="G692" s="130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>
      <c r="A693" s="112"/>
      <c r="B693" s="112"/>
      <c r="C693" s="112"/>
      <c r="D693" s="112"/>
      <c r="E693" s="130"/>
      <c r="F693" s="130"/>
      <c r="G693" s="130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>
      <c r="A694" s="112"/>
      <c r="B694" s="112"/>
      <c r="C694" s="112"/>
      <c r="D694" s="112"/>
      <c r="E694" s="130"/>
      <c r="F694" s="130"/>
      <c r="G694" s="130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>
      <c r="A695" s="112"/>
      <c r="B695" s="112"/>
      <c r="C695" s="112"/>
      <c r="D695" s="112"/>
      <c r="E695" s="130"/>
      <c r="F695" s="130"/>
      <c r="G695" s="130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>
      <c r="A696" s="112"/>
      <c r="B696" s="112"/>
      <c r="C696" s="112"/>
      <c r="D696" s="112"/>
      <c r="E696" s="130"/>
      <c r="F696" s="130"/>
      <c r="G696" s="130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>
      <c r="A697" s="112"/>
      <c r="B697" s="112"/>
      <c r="C697" s="112"/>
      <c r="D697" s="112"/>
      <c r="E697" s="130"/>
      <c r="F697" s="130"/>
      <c r="G697" s="130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>
      <c r="A698" s="112"/>
      <c r="B698" s="112"/>
      <c r="C698" s="112"/>
      <c r="D698" s="112"/>
      <c r="E698" s="130"/>
      <c r="F698" s="130"/>
      <c r="G698" s="130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>
      <c r="A699" s="112"/>
      <c r="B699" s="112"/>
      <c r="C699" s="112"/>
      <c r="D699" s="112"/>
      <c r="E699" s="130"/>
      <c r="F699" s="130"/>
      <c r="G699" s="130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>
      <c r="A700" s="112"/>
      <c r="B700" s="112"/>
      <c r="C700" s="112"/>
      <c r="D700" s="112"/>
      <c r="E700" s="130"/>
      <c r="F700" s="130"/>
      <c r="G700" s="130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>
      <c r="A701" s="112"/>
      <c r="B701" s="112"/>
      <c r="C701" s="112"/>
      <c r="D701" s="112"/>
      <c r="E701" s="130"/>
      <c r="F701" s="130"/>
      <c r="G701" s="130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>
      <c r="A702" s="112"/>
      <c r="B702" s="112"/>
      <c r="C702" s="112"/>
      <c r="D702" s="112"/>
      <c r="E702" s="130"/>
      <c r="F702" s="130"/>
      <c r="G702" s="130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>
      <c r="A703" s="112"/>
      <c r="B703" s="112"/>
      <c r="C703" s="112"/>
      <c r="D703" s="112"/>
      <c r="E703" s="130"/>
      <c r="F703" s="130"/>
      <c r="G703" s="130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>
      <c r="A704" s="112"/>
      <c r="B704" s="112"/>
      <c r="C704" s="112"/>
      <c r="D704" s="112"/>
      <c r="E704" s="130"/>
      <c r="F704" s="130"/>
      <c r="G704" s="130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>
      <c r="A705" s="112"/>
      <c r="B705" s="112"/>
      <c r="C705" s="112"/>
      <c r="D705" s="112"/>
      <c r="E705" s="130"/>
      <c r="F705" s="130"/>
      <c r="G705" s="130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>
      <c r="A706" s="112"/>
      <c r="B706" s="112"/>
      <c r="C706" s="112"/>
      <c r="D706" s="112"/>
      <c r="E706" s="130"/>
      <c r="F706" s="130"/>
      <c r="G706" s="130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>
      <c r="A707" s="112"/>
      <c r="B707" s="112"/>
      <c r="C707" s="112"/>
      <c r="D707" s="112"/>
      <c r="E707" s="130"/>
      <c r="F707" s="130"/>
      <c r="G707" s="130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>
      <c r="A708" s="112"/>
      <c r="B708" s="112"/>
      <c r="C708" s="112"/>
      <c r="D708" s="112"/>
      <c r="E708" s="130"/>
      <c r="F708" s="130"/>
      <c r="G708" s="130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>
      <c r="A709" s="112"/>
      <c r="B709" s="112"/>
      <c r="C709" s="112"/>
      <c r="D709" s="112"/>
      <c r="E709" s="130"/>
      <c r="F709" s="130"/>
      <c r="G709" s="130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>
      <c r="A710" s="112"/>
      <c r="B710" s="112"/>
      <c r="C710" s="112"/>
      <c r="D710" s="112"/>
      <c r="E710" s="130"/>
      <c r="F710" s="130"/>
      <c r="G710" s="130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>
      <c r="A711" s="112"/>
      <c r="B711" s="112"/>
      <c r="C711" s="112"/>
      <c r="D711" s="112"/>
      <c r="E711" s="130"/>
      <c r="F711" s="130"/>
      <c r="G711" s="130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>
      <c r="A712" s="112"/>
      <c r="B712" s="112"/>
      <c r="C712" s="112"/>
      <c r="D712" s="112"/>
      <c r="E712" s="130"/>
      <c r="F712" s="130"/>
      <c r="G712" s="130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>
      <c r="A713" s="112"/>
      <c r="B713" s="112"/>
      <c r="C713" s="112"/>
      <c r="D713" s="112"/>
      <c r="E713" s="130"/>
      <c r="F713" s="130"/>
      <c r="G713" s="130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>
      <c r="A714" s="112"/>
      <c r="B714" s="112"/>
      <c r="C714" s="112"/>
      <c r="D714" s="112"/>
      <c r="E714" s="130"/>
      <c r="F714" s="130"/>
      <c r="G714" s="130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>
      <c r="A715" s="112"/>
      <c r="B715" s="112"/>
      <c r="C715" s="112"/>
      <c r="D715" s="112"/>
      <c r="E715" s="130"/>
      <c r="F715" s="130"/>
      <c r="G715" s="130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>
      <c r="A716" s="112"/>
      <c r="B716" s="112"/>
      <c r="C716" s="112"/>
      <c r="D716" s="112"/>
      <c r="E716" s="130"/>
      <c r="F716" s="130"/>
      <c r="G716" s="130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>
      <c r="A717" s="112"/>
      <c r="B717" s="112"/>
      <c r="C717" s="112"/>
      <c r="D717" s="112"/>
      <c r="E717" s="130"/>
      <c r="F717" s="130"/>
      <c r="G717" s="130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>
      <c r="A718" s="112"/>
      <c r="B718" s="112"/>
      <c r="C718" s="112"/>
      <c r="D718" s="112"/>
      <c r="E718" s="130"/>
      <c r="F718" s="130"/>
      <c r="G718" s="130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>
      <c r="A719" s="112"/>
      <c r="B719" s="112"/>
      <c r="C719" s="112"/>
      <c r="D719" s="112"/>
      <c r="E719" s="130"/>
      <c r="F719" s="130"/>
      <c r="G719" s="130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>
      <c r="A720" s="112"/>
      <c r="B720" s="112"/>
      <c r="C720" s="112"/>
      <c r="D720" s="112"/>
      <c r="E720" s="130"/>
      <c r="F720" s="130"/>
      <c r="G720" s="130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>
      <c r="A721" s="112"/>
      <c r="B721" s="112"/>
      <c r="C721" s="112"/>
      <c r="D721" s="112"/>
      <c r="E721" s="130"/>
      <c r="F721" s="130"/>
      <c r="G721" s="130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>
      <c r="A722" s="112"/>
      <c r="B722" s="112"/>
      <c r="C722" s="112"/>
      <c r="D722" s="112"/>
      <c r="E722" s="130"/>
      <c r="F722" s="130"/>
      <c r="G722" s="130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>
      <c r="A723" s="112"/>
      <c r="B723" s="112"/>
      <c r="C723" s="112"/>
      <c r="D723" s="112"/>
      <c r="E723" s="130"/>
      <c r="F723" s="130"/>
      <c r="G723" s="130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>
      <c r="A724" s="112"/>
      <c r="B724" s="112"/>
      <c r="C724" s="112"/>
      <c r="D724" s="112"/>
      <c r="E724" s="130"/>
      <c r="F724" s="130"/>
      <c r="G724" s="130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>
      <c r="A725" s="112"/>
      <c r="B725" s="112"/>
      <c r="C725" s="112"/>
      <c r="D725" s="112"/>
      <c r="E725" s="130"/>
      <c r="F725" s="130"/>
      <c r="G725" s="130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>
      <c r="A726" s="112"/>
      <c r="B726" s="112"/>
      <c r="C726" s="112"/>
      <c r="D726" s="112"/>
      <c r="E726" s="130"/>
      <c r="F726" s="130"/>
      <c r="G726" s="130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>
      <c r="A727" s="112"/>
      <c r="B727" s="112"/>
      <c r="C727" s="112"/>
      <c r="D727" s="112"/>
      <c r="E727" s="130"/>
      <c r="F727" s="130"/>
      <c r="G727" s="130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>
      <c r="A728" s="112"/>
      <c r="B728" s="112"/>
      <c r="C728" s="112"/>
      <c r="D728" s="112"/>
      <c r="E728" s="130"/>
      <c r="F728" s="130"/>
      <c r="G728" s="130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>
      <c r="A729" s="112"/>
      <c r="B729" s="112"/>
      <c r="C729" s="112"/>
      <c r="D729" s="112"/>
      <c r="E729" s="130"/>
      <c r="F729" s="130"/>
      <c r="G729" s="130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>
      <c r="A730" s="112"/>
      <c r="B730" s="112"/>
      <c r="C730" s="112"/>
      <c r="D730" s="112"/>
      <c r="E730" s="130"/>
      <c r="F730" s="130"/>
      <c r="G730" s="130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>
      <c r="A731" s="112"/>
      <c r="B731" s="112"/>
      <c r="C731" s="112"/>
      <c r="D731" s="112"/>
      <c r="E731" s="130"/>
      <c r="F731" s="130"/>
      <c r="G731" s="130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>
      <c r="A732" s="112"/>
      <c r="B732" s="112"/>
      <c r="C732" s="112"/>
      <c r="D732" s="112"/>
      <c r="E732" s="130"/>
      <c r="F732" s="130"/>
      <c r="G732" s="130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>
      <c r="A733" s="112"/>
      <c r="B733" s="112"/>
      <c r="C733" s="112"/>
      <c r="D733" s="112"/>
      <c r="E733" s="130"/>
      <c r="F733" s="130"/>
      <c r="G733" s="130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>
      <c r="A734" s="112"/>
      <c r="B734" s="112"/>
      <c r="C734" s="112"/>
      <c r="D734" s="112"/>
      <c r="E734" s="130"/>
      <c r="F734" s="130"/>
      <c r="G734" s="130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>
      <c r="A735" s="112"/>
      <c r="B735" s="112"/>
      <c r="C735" s="112"/>
      <c r="D735" s="112"/>
      <c r="E735" s="130"/>
      <c r="F735" s="130"/>
      <c r="G735" s="130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>
      <c r="A736" s="112"/>
      <c r="B736" s="112"/>
      <c r="C736" s="112"/>
      <c r="D736" s="112"/>
      <c r="E736" s="130"/>
      <c r="F736" s="130"/>
      <c r="G736" s="130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>
      <c r="A737" s="112"/>
      <c r="B737" s="112"/>
      <c r="C737" s="112"/>
      <c r="D737" s="112"/>
      <c r="E737" s="130"/>
      <c r="F737" s="130"/>
      <c r="G737" s="130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>
      <c r="A738" s="112"/>
      <c r="B738" s="112"/>
      <c r="C738" s="112"/>
      <c r="D738" s="112"/>
      <c r="E738" s="130"/>
      <c r="F738" s="130"/>
      <c r="G738" s="130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>
      <c r="A739" s="112"/>
      <c r="B739" s="112"/>
      <c r="C739" s="112"/>
      <c r="D739" s="112"/>
      <c r="E739" s="130"/>
      <c r="F739" s="130"/>
      <c r="G739" s="130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>
      <c r="A740" s="112"/>
      <c r="B740" s="112"/>
      <c r="C740" s="112"/>
      <c r="D740" s="112"/>
      <c r="E740" s="130"/>
      <c r="F740" s="130"/>
      <c r="G740" s="130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>
      <c r="A741" s="112"/>
      <c r="B741" s="112"/>
      <c r="C741" s="112"/>
      <c r="D741" s="112"/>
      <c r="E741" s="130"/>
      <c r="F741" s="130"/>
      <c r="G741" s="130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>
      <c r="A742" s="112"/>
      <c r="B742" s="112"/>
      <c r="C742" s="112"/>
      <c r="D742" s="112"/>
      <c r="E742" s="130"/>
      <c r="F742" s="130"/>
      <c r="G742" s="130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>
      <c r="A743" s="112"/>
      <c r="B743" s="112"/>
      <c r="C743" s="112"/>
      <c r="D743" s="112"/>
      <c r="E743" s="130"/>
      <c r="F743" s="130"/>
      <c r="G743" s="130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>
      <c r="A744" s="112"/>
      <c r="B744" s="112"/>
      <c r="C744" s="112"/>
      <c r="D744" s="112"/>
      <c r="E744" s="130"/>
      <c r="F744" s="130"/>
      <c r="G744" s="130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>
      <c r="A745" s="112"/>
      <c r="B745" s="112"/>
      <c r="C745" s="112"/>
      <c r="D745" s="112"/>
      <c r="E745" s="130"/>
      <c r="F745" s="130"/>
      <c r="G745" s="130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>
      <c r="A746" s="112"/>
      <c r="B746" s="112"/>
      <c r="C746" s="112"/>
      <c r="D746" s="112"/>
      <c r="E746" s="130"/>
      <c r="F746" s="130"/>
      <c r="G746" s="130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>
      <c r="A747" s="112"/>
      <c r="B747" s="112"/>
      <c r="C747" s="112"/>
      <c r="D747" s="112"/>
      <c r="E747" s="130"/>
      <c r="F747" s="130"/>
      <c r="G747" s="130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>
      <c r="A748" s="112"/>
      <c r="B748" s="112"/>
      <c r="C748" s="112"/>
      <c r="D748" s="112"/>
      <c r="E748" s="130"/>
      <c r="F748" s="130"/>
      <c r="G748" s="130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>
      <c r="A749" s="112"/>
      <c r="B749" s="112"/>
      <c r="C749" s="112"/>
      <c r="D749" s="112"/>
      <c r="E749" s="130"/>
      <c r="F749" s="130"/>
      <c r="G749" s="130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>
      <c r="A750" s="112"/>
      <c r="B750" s="112"/>
      <c r="C750" s="112"/>
      <c r="D750" s="112"/>
      <c r="E750" s="130"/>
      <c r="F750" s="130"/>
      <c r="G750" s="130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>
      <c r="A751" s="112"/>
      <c r="B751" s="112"/>
      <c r="C751" s="112"/>
      <c r="D751" s="112"/>
      <c r="E751" s="130"/>
      <c r="F751" s="130"/>
      <c r="G751" s="130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>
      <c r="A752" s="112"/>
      <c r="B752" s="112"/>
      <c r="C752" s="112"/>
      <c r="D752" s="112"/>
      <c r="E752" s="130"/>
      <c r="F752" s="130"/>
      <c r="G752" s="130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>
      <c r="A753" s="112"/>
      <c r="B753" s="112"/>
      <c r="C753" s="112"/>
      <c r="D753" s="112"/>
      <c r="E753" s="130"/>
      <c r="F753" s="130"/>
      <c r="G753" s="130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>
      <c r="A754" s="112"/>
      <c r="B754" s="112"/>
      <c r="C754" s="112"/>
      <c r="D754" s="112"/>
      <c r="E754" s="130"/>
      <c r="F754" s="130"/>
      <c r="G754" s="130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>
      <c r="A755" s="112"/>
      <c r="B755" s="112"/>
      <c r="C755" s="112"/>
      <c r="D755" s="112"/>
      <c r="E755" s="130"/>
      <c r="F755" s="130"/>
      <c r="G755" s="130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>
      <c r="A756" s="112"/>
      <c r="B756" s="112"/>
      <c r="C756" s="112"/>
      <c r="D756" s="112"/>
      <c r="E756" s="130"/>
      <c r="F756" s="130"/>
      <c r="G756" s="130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>
      <c r="A757" s="112"/>
      <c r="B757" s="112"/>
      <c r="C757" s="112"/>
      <c r="D757" s="112"/>
      <c r="E757" s="130"/>
      <c r="F757" s="130"/>
      <c r="G757" s="130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>
      <c r="A758" s="112"/>
      <c r="B758" s="112"/>
      <c r="C758" s="112"/>
      <c r="D758" s="112"/>
      <c r="E758" s="130"/>
      <c r="F758" s="130"/>
      <c r="G758" s="130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>
      <c r="A759" s="112"/>
      <c r="B759" s="112"/>
      <c r="C759" s="112"/>
      <c r="D759" s="112"/>
      <c r="E759" s="130"/>
      <c r="F759" s="130"/>
      <c r="G759" s="130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>
      <c r="A760" s="112"/>
      <c r="B760" s="112"/>
      <c r="C760" s="112"/>
      <c r="D760" s="112"/>
      <c r="E760" s="130"/>
      <c r="F760" s="130"/>
      <c r="G760" s="130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>
      <c r="A761" s="112"/>
      <c r="B761" s="112"/>
      <c r="C761" s="112"/>
      <c r="D761" s="112"/>
      <c r="E761" s="130"/>
      <c r="F761" s="130"/>
      <c r="G761" s="130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>
      <c r="A762" s="112"/>
      <c r="B762" s="112"/>
      <c r="C762" s="112"/>
      <c r="D762" s="112"/>
      <c r="E762" s="130"/>
      <c r="F762" s="130"/>
      <c r="G762" s="130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>
      <c r="A763" s="112"/>
      <c r="B763" s="112"/>
      <c r="C763" s="112"/>
      <c r="D763" s="112"/>
      <c r="E763" s="130"/>
      <c r="F763" s="130"/>
      <c r="G763" s="130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>
      <c r="A764" s="112"/>
      <c r="B764" s="112"/>
      <c r="C764" s="112"/>
      <c r="D764" s="112"/>
      <c r="E764" s="130"/>
      <c r="F764" s="130"/>
      <c r="G764" s="130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>
      <c r="A765" s="112"/>
      <c r="B765" s="112"/>
      <c r="C765" s="112"/>
      <c r="D765" s="112"/>
      <c r="E765" s="130"/>
      <c r="F765" s="130"/>
      <c r="G765" s="130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>
      <c r="A766" s="112"/>
      <c r="B766" s="112"/>
      <c r="C766" s="112"/>
      <c r="D766" s="112"/>
      <c r="E766" s="130"/>
      <c r="F766" s="130"/>
      <c r="G766" s="130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>
      <c r="A767" s="112"/>
      <c r="B767" s="112"/>
      <c r="C767" s="112"/>
      <c r="D767" s="112"/>
      <c r="E767" s="130"/>
      <c r="F767" s="130"/>
      <c r="G767" s="130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>
      <c r="A768" s="112"/>
      <c r="B768" s="112"/>
      <c r="C768" s="112"/>
      <c r="D768" s="112"/>
      <c r="E768" s="130"/>
      <c r="F768" s="130"/>
      <c r="G768" s="130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>
      <c r="A769" s="112"/>
      <c r="B769" s="112"/>
      <c r="C769" s="112"/>
      <c r="D769" s="112"/>
      <c r="E769" s="130"/>
      <c r="F769" s="130"/>
      <c r="G769" s="130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>
      <c r="A770" s="112"/>
      <c r="B770" s="112"/>
      <c r="C770" s="112"/>
      <c r="D770" s="112"/>
      <c r="E770" s="130"/>
      <c r="F770" s="130"/>
      <c r="G770" s="130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>
      <c r="A771" s="112"/>
      <c r="B771" s="112"/>
      <c r="C771" s="112"/>
      <c r="D771" s="112"/>
      <c r="E771" s="130"/>
      <c r="F771" s="130"/>
      <c r="G771" s="130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>
      <c r="A772" s="112"/>
      <c r="B772" s="112"/>
      <c r="C772" s="112"/>
      <c r="D772" s="112"/>
      <c r="E772" s="130"/>
      <c r="F772" s="130"/>
      <c r="G772" s="130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>
      <c r="A773" s="112"/>
      <c r="B773" s="112"/>
      <c r="C773" s="112"/>
      <c r="D773" s="112"/>
      <c r="E773" s="130"/>
      <c r="F773" s="130"/>
      <c r="G773" s="130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>
      <c r="A774" s="112"/>
      <c r="B774" s="112"/>
      <c r="C774" s="112"/>
      <c r="D774" s="112"/>
      <c r="E774" s="130"/>
      <c r="F774" s="130"/>
      <c r="G774" s="130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>
      <c r="A775" s="112"/>
      <c r="B775" s="112"/>
      <c r="C775" s="112"/>
      <c r="D775" s="112"/>
      <c r="E775" s="130"/>
      <c r="F775" s="130"/>
      <c r="G775" s="130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>
      <c r="A776" s="112"/>
      <c r="B776" s="112"/>
      <c r="C776" s="112"/>
      <c r="D776" s="112"/>
      <c r="E776" s="130"/>
      <c r="F776" s="130"/>
      <c r="G776" s="130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>
      <c r="A777" s="112"/>
      <c r="B777" s="112"/>
      <c r="C777" s="112"/>
      <c r="D777" s="112"/>
      <c r="E777" s="130"/>
      <c r="F777" s="130"/>
      <c r="G777" s="130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>
      <c r="A778" s="112"/>
      <c r="B778" s="112"/>
      <c r="C778" s="112"/>
      <c r="D778" s="112"/>
      <c r="E778" s="130"/>
      <c r="F778" s="130"/>
      <c r="G778" s="130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>
      <c r="A779" s="112"/>
      <c r="B779" s="112"/>
      <c r="C779" s="112"/>
      <c r="D779" s="112"/>
      <c r="E779" s="130"/>
      <c r="F779" s="130"/>
      <c r="G779" s="130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>
      <c r="A780" s="112"/>
      <c r="B780" s="112"/>
      <c r="C780" s="112"/>
      <c r="D780" s="112"/>
      <c r="E780" s="130"/>
      <c r="F780" s="130"/>
      <c r="G780" s="130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>
      <c r="A781" s="112"/>
      <c r="B781" s="112"/>
      <c r="C781" s="112"/>
      <c r="D781" s="112"/>
      <c r="E781" s="130"/>
      <c r="F781" s="130"/>
      <c r="G781" s="130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>
      <c r="A782" s="112"/>
      <c r="B782" s="112"/>
      <c r="C782" s="112"/>
      <c r="D782" s="112"/>
      <c r="E782" s="130"/>
      <c r="F782" s="130"/>
      <c r="G782" s="130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>
      <c r="A783" s="112"/>
      <c r="B783" s="112"/>
      <c r="C783" s="112"/>
      <c r="D783" s="112"/>
      <c r="E783" s="130"/>
      <c r="F783" s="130"/>
      <c r="G783" s="130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>
      <c r="A784" s="112"/>
      <c r="B784" s="112"/>
      <c r="C784" s="112"/>
      <c r="D784" s="112"/>
      <c r="E784" s="130"/>
      <c r="F784" s="130"/>
      <c r="G784" s="130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>
      <c r="A785" s="112"/>
      <c r="B785" s="112"/>
      <c r="C785" s="112"/>
      <c r="D785" s="112"/>
      <c r="E785" s="130"/>
      <c r="F785" s="130"/>
      <c r="G785" s="130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>
      <c r="A786" s="112"/>
      <c r="B786" s="112"/>
      <c r="C786" s="112"/>
      <c r="D786" s="112"/>
      <c r="E786" s="130"/>
      <c r="F786" s="130"/>
      <c r="G786" s="130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>
      <c r="A787" s="112"/>
      <c r="B787" s="112"/>
      <c r="C787" s="112"/>
      <c r="D787" s="112"/>
      <c r="E787" s="130"/>
      <c r="F787" s="130"/>
      <c r="G787" s="130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>
      <c r="A788" s="112"/>
      <c r="B788" s="112"/>
      <c r="C788" s="112"/>
      <c r="D788" s="112"/>
      <c r="E788" s="130"/>
      <c r="F788" s="130"/>
      <c r="G788" s="130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>
      <c r="A789" s="112"/>
      <c r="B789" s="112"/>
      <c r="C789" s="112"/>
      <c r="D789" s="112"/>
      <c r="E789" s="130"/>
      <c r="F789" s="130"/>
      <c r="G789" s="130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>
      <c r="A790" s="112"/>
      <c r="B790" s="112"/>
      <c r="C790" s="112"/>
      <c r="D790" s="112"/>
      <c r="E790" s="130"/>
      <c r="F790" s="130"/>
      <c r="G790" s="130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>
      <c r="A791" s="112"/>
      <c r="B791" s="112"/>
      <c r="C791" s="112"/>
      <c r="D791" s="112"/>
      <c r="E791" s="130"/>
      <c r="F791" s="130"/>
      <c r="G791" s="130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>
      <c r="A792" s="112"/>
      <c r="B792" s="112"/>
      <c r="C792" s="112"/>
      <c r="D792" s="112"/>
      <c r="E792" s="130"/>
      <c r="F792" s="130"/>
      <c r="G792" s="130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>
      <c r="A793" s="112"/>
      <c r="B793" s="112"/>
      <c r="C793" s="112"/>
      <c r="D793" s="112"/>
      <c r="E793" s="130"/>
      <c r="F793" s="130"/>
      <c r="G793" s="130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>
      <c r="A794" s="112"/>
      <c r="B794" s="112"/>
      <c r="C794" s="112"/>
      <c r="D794" s="112"/>
      <c r="E794" s="130"/>
      <c r="F794" s="130"/>
      <c r="G794" s="130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>
      <c r="A795" s="112"/>
      <c r="B795" s="112"/>
      <c r="C795" s="112"/>
      <c r="D795" s="112"/>
      <c r="E795" s="130"/>
      <c r="F795" s="130"/>
      <c r="G795" s="130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>
      <c r="A796" s="112"/>
      <c r="B796" s="112"/>
      <c r="C796" s="112"/>
      <c r="D796" s="112"/>
      <c r="E796" s="130"/>
      <c r="F796" s="130"/>
      <c r="G796" s="130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>
      <c r="A797" s="112"/>
      <c r="B797" s="112"/>
      <c r="C797" s="112"/>
      <c r="D797" s="112"/>
      <c r="E797" s="130"/>
      <c r="F797" s="130"/>
      <c r="G797" s="130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>
      <c r="A798" s="112"/>
      <c r="B798" s="112"/>
      <c r="C798" s="112"/>
      <c r="D798" s="112"/>
      <c r="E798" s="130"/>
      <c r="F798" s="130"/>
      <c r="G798" s="130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>
      <c r="A799" s="112"/>
      <c r="B799" s="112"/>
      <c r="C799" s="112"/>
      <c r="D799" s="112"/>
      <c r="E799" s="130"/>
      <c r="F799" s="130"/>
      <c r="G799" s="130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>
      <c r="A800" s="112"/>
      <c r="B800" s="112"/>
      <c r="C800" s="112"/>
      <c r="D800" s="112"/>
      <c r="E800" s="130"/>
      <c r="F800" s="130"/>
      <c r="G800" s="130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>
      <c r="A801" s="112"/>
      <c r="B801" s="112"/>
      <c r="C801" s="112"/>
      <c r="D801" s="112"/>
      <c r="E801" s="130"/>
      <c r="F801" s="130"/>
      <c r="G801" s="130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>
      <c r="A802" s="112"/>
      <c r="B802" s="112"/>
      <c r="C802" s="112"/>
      <c r="D802" s="112"/>
      <c r="E802" s="130"/>
      <c r="F802" s="130"/>
      <c r="G802" s="130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>
      <c r="A803" s="112"/>
      <c r="B803" s="112"/>
      <c r="C803" s="112"/>
      <c r="D803" s="112"/>
      <c r="E803" s="130"/>
      <c r="F803" s="130"/>
      <c r="G803" s="130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>
      <c r="A804" s="112"/>
      <c r="B804" s="112"/>
      <c r="C804" s="112"/>
      <c r="D804" s="112"/>
      <c r="E804" s="130"/>
      <c r="F804" s="130"/>
      <c r="G804" s="130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>
      <c r="A805" s="112"/>
      <c r="B805" s="112"/>
      <c r="C805" s="112"/>
      <c r="D805" s="112"/>
      <c r="E805" s="130"/>
      <c r="F805" s="130"/>
      <c r="G805" s="130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>
      <c r="A806" s="112"/>
      <c r="B806" s="112"/>
      <c r="C806" s="112"/>
      <c r="D806" s="112"/>
      <c r="E806" s="130"/>
      <c r="F806" s="130"/>
      <c r="G806" s="130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>
      <c r="A807" s="112"/>
      <c r="B807" s="112"/>
      <c r="C807" s="112"/>
      <c r="D807" s="112"/>
      <c r="E807" s="130"/>
      <c r="F807" s="130"/>
      <c r="G807" s="130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>
      <c r="A808" s="112"/>
      <c r="B808" s="112"/>
      <c r="C808" s="112"/>
      <c r="D808" s="112"/>
      <c r="E808" s="130"/>
      <c r="F808" s="130"/>
      <c r="G808" s="130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>
      <c r="A809" s="112"/>
      <c r="B809" s="112"/>
      <c r="C809" s="112"/>
      <c r="D809" s="112"/>
      <c r="E809" s="130"/>
      <c r="F809" s="130"/>
      <c r="G809" s="130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>
      <c r="A810" s="112"/>
      <c r="B810" s="112"/>
      <c r="C810" s="112"/>
      <c r="D810" s="112"/>
      <c r="E810" s="130"/>
      <c r="F810" s="130"/>
      <c r="G810" s="130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>
      <c r="A811" s="112"/>
      <c r="B811" s="112"/>
      <c r="C811" s="112"/>
      <c r="D811" s="112"/>
      <c r="E811" s="130"/>
      <c r="F811" s="130"/>
      <c r="G811" s="130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>
      <c r="A812" s="112"/>
      <c r="B812" s="112"/>
      <c r="C812" s="112"/>
      <c r="D812" s="112"/>
      <c r="E812" s="130"/>
      <c r="F812" s="130"/>
      <c r="G812" s="130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>
      <c r="A813" s="112"/>
      <c r="B813" s="112"/>
      <c r="C813" s="112"/>
      <c r="D813" s="112"/>
      <c r="E813" s="130"/>
      <c r="F813" s="130"/>
      <c r="G813" s="130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>
      <c r="A814" s="112"/>
      <c r="B814" s="112"/>
      <c r="C814" s="112"/>
      <c r="D814" s="112"/>
      <c r="E814" s="130"/>
      <c r="F814" s="130"/>
      <c r="G814" s="130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>
      <c r="A815" s="112"/>
      <c r="B815" s="112"/>
      <c r="C815" s="112"/>
      <c r="D815" s="112"/>
      <c r="E815" s="130"/>
      <c r="F815" s="130"/>
      <c r="G815" s="130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>
      <c r="A816" s="112"/>
      <c r="B816" s="112"/>
      <c r="C816" s="112"/>
      <c r="D816" s="112"/>
      <c r="E816" s="130"/>
      <c r="F816" s="130"/>
      <c r="G816" s="130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>
      <c r="A817" s="112"/>
      <c r="B817" s="112"/>
      <c r="C817" s="112"/>
      <c r="D817" s="112"/>
      <c r="E817" s="130"/>
      <c r="F817" s="130"/>
      <c r="G817" s="130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>
      <c r="A818" s="112"/>
      <c r="B818" s="112"/>
      <c r="C818" s="112"/>
      <c r="D818" s="112"/>
      <c r="E818" s="130"/>
      <c r="F818" s="130"/>
      <c r="G818" s="130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>
      <c r="A819" s="112"/>
      <c r="B819" s="112"/>
      <c r="C819" s="112"/>
      <c r="D819" s="112"/>
      <c r="E819" s="130"/>
      <c r="F819" s="130"/>
      <c r="G819" s="130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>
      <c r="A820" s="112"/>
      <c r="B820" s="112"/>
      <c r="C820" s="112"/>
      <c r="D820" s="112"/>
      <c r="E820" s="130"/>
      <c r="F820" s="130"/>
      <c r="G820" s="130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>
      <c r="A821" s="112"/>
      <c r="B821" s="112"/>
      <c r="C821" s="112"/>
      <c r="D821" s="112"/>
      <c r="E821" s="130"/>
      <c r="F821" s="130"/>
      <c r="G821" s="130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>
      <c r="A822" s="112"/>
      <c r="B822" s="112"/>
      <c r="C822" s="112"/>
      <c r="D822" s="112"/>
      <c r="E822" s="130"/>
      <c r="F822" s="130"/>
      <c r="G822" s="130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>
      <c r="A823" s="112"/>
      <c r="B823" s="112"/>
      <c r="C823" s="112"/>
      <c r="D823" s="112"/>
      <c r="E823" s="130"/>
      <c r="F823" s="130"/>
      <c r="G823" s="130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>
      <c r="A824" s="112"/>
      <c r="B824" s="112"/>
      <c r="C824" s="112"/>
      <c r="D824" s="112"/>
      <c r="E824" s="130"/>
      <c r="F824" s="130"/>
      <c r="G824" s="130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>
      <c r="A825" s="112"/>
      <c r="B825" s="112"/>
      <c r="C825" s="112"/>
      <c r="D825" s="112"/>
      <c r="E825" s="130"/>
      <c r="F825" s="130"/>
      <c r="G825" s="130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>
      <c r="A826" s="112"/>
      <c r="B826" s="112"/>
      <c r="C826" s="112"/>
      <c r="D826" s="112"/>
      <c r="E826" s="130"/>
      <c r="F826" s="130"/>
      <c r="G826" s="130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>
      <c r="A827" s="112"/>
      <c r="B827" s="112"/>
      <c r="C827" s="112"/>
      <c r="D827" s="112"/>
      <c r="E827" s="130"/>
      <c r="F827" s="130"/>
      <c r="G827" s="130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>
      <c r="A828" s="112"/>
      <c r="B828" s="112"/>
      <c r="C828" s="112"/>
      <c r="D828" s="112"/>
      <c r="E828" s="130"/>
      <c r="F828" s="130"/>
      <c r="G828" s="130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>
      <c r="A829" s="112"/>
      <c r="B829" s="112"/>
      <c r="C829" s="112"/>
      <c r="D829" s="112"/>
      <c r="E829" s="130"/>
      <c r="F829" s="130"/>
      <c r="G829" s="130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>
      <c r="A830" s="112"/>
      <c r="B830" s="112"/>
      <c r="C830" s="112"/>
      <c r="D830" s="112"/>
      <c r="E830" s="130"/>
      <c r="F830" s="130"/>
      <c r="G830" s="130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>
      <c r="A831" s="112"/>
      <c r="B831" s="112"/>
      <c r="C831" s="112"/>
      <c r="D831" s="112"/>
      <c r="E831" s="130"/>
      <c r="F831" s="130"/>
      <c r="G831" s="130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>
      <c r="A832" s="112"/>
      <c r="B832" s="112"/>
      <c r="C832" s="112"/>
      <c r="D832" s="112"/>
      <c r="E832" s="130"/>
      <c r="F832" s="130"/>
      <c r="G832" s="130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>
      <c r="A833" s="112"/>
      <c r="B833" s="112"/>
      <c r="C833" s="112"/>
      <c r="D833" s="112"/>
      <c r="E833" s="130"/>
      <c r="F833" s="130"/>
      <c r="G833" s="130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>
      <c r="A834" s="112"/>
      <c r="B834" s="112"/>
      <c r="C834" s="112"/>
      <c r="D834" s="112"/>
      <c r="E834" s="130"/>
      <c r="F834" s="130"/>
      <c r="G834" s="130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>
      <c r="A835" s="112"/>
      <c r="B835" s="112"/>
      <c r="C835" s="112"/>
      <c r="D835" s="112"/>
      <c r="E835" s="130"/>
      <c r="F835" s="130"/>
      <c r="G835" s="130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>
      <c r="A836" s="112"/>
      <c r="B836" s="112"/>
      <c r="C836" s="112"/>
      <c r="D836" s="112"/>
      <c r="E836" s="130"/>
      <c r="F836" s="130"/>
      <c r="G836" s="130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>
      <c r="A837" s="112"/>
      <c r="B837" s="112"/>
      <c r="C837" s="112"/>
      <c r="D837" s="112"/>
      <c r="E837" s="130"/>
      <c r="F837" s="130"/>
      <c r="G837" s="130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>
      <c r="A838" s="112"/>
      <c r="B838" s="112"/>
      <c r="C838" s="112"/>
      <c r="D838" s="112"/>
      <c r="E838" s="130"/>
      <c r="F838" s="130"/>
      <c r="G838" s="130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>
      <c r="A839" s="112"/>
      <c r="B839" s="112"/>
      <c r="C839" s="112"/>
      <c r="D839" s="112"/>
      <c r="E839" s="130"/>
      <c r="F839" s="130"/>
      <c r="G839" s="130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>
      <c r="A840" s="112"/>
      <c r="B840" s="112"/>
      <c r="C840" s="112"/>
      <c r="D840" s="112"/>
      <c r="E840" s="130"/>
      <c r="F840" s="130"/>
      <c r="G840" s="130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>
      <c r="A841" s="112"/>
      <c r="B841" s="112"/>
      <c r="C841" s="112"/>
      <c r="D841" s="112"/>
      <c r="E841" s="130"/>
      <c r="F841" s="130"/>
      <c r="G841" s="130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>
      <c r="A842" s="112"/>
      <c r="B842" s="112"/>
      <c r="C842" s="112"/>
      <c r="D842" s="112"/>
      <c r="E842" s="130"/>
      <c r="F842" s="130"/>
      <c r="G842" s="130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>
      <c r="A843" s="112"/>
      <c r="B843" s="112"/>
      <c r="C843" s="112"/>
      <c r="D843" s="112"/>
      <c r="E843" s="130"/>
      <c r="F843" s="130"/>
      <c r="G843" s="130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>
      <c r="A844" s="112"/>
      <c r="B844" s="112"/>
      <c r="C844" s="112"/>
      <c r="D844" s="112"/>
      <c r="E844" s="130"/>
      <c r="F844" s="130"/>
      <c r="G844" s="130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>
      <c r="A845" s="112"/>
      <c r="B845" s="112"/>
      <c r="C845" s="112"/>
      <c r="D845" s="112"/>
      <c r="E845" s="130"/>
      <c r="F845" s="130"/>
      <c r="G845" s="130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>
      <c r="A846" s="112"/>
      <c r="B846" s="112"/>
      <c r="C846" s="112"/>
      <c r="D846" s="112"/>
      <c r="E846" s="130"/>
      <c r="F846" s="130"/>
      <c r="G846" s="130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>
      <c r="A847" s="112"/>
      <c r="B847" s="112"/>
      <c r="C847" s="112"/>
      <c r="D847" s="112"/>
      <c r="E847" s="130"/>
      <c r="F847" s="130"/>
      <c r="G847" s="130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>
      <c r="A848" s="112"/>
      <c r="B848" s="112"/>
      <c r="C848" s="112"/>
      <c r="D848" s="112"/>
      <c r="E848" s="130"/>
      <c r="F848" s="130"/>
      <c r="G848" s="130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>
      <c r="A849" s="112"/>
      <c r="B849" s="112"/>
      <c r="C849" s="112"/>
      <c r="D849" s="112"/>
      <c r="E849" s="130"/>
      <c r="F849" s="130"/>
      <c r="G849" s="130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>
      <c r="A850" s="112"/>
      <c r="B850" s="112"/>
      <c r="C850" s="112"/>
      <c r="D850" s="112"/>
      <c r="E850" s="130"/>
      <c r="F850" s="130"/>
      <c r="G850" s="130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>
      <c r="A851" s="112"/>
      <c r="B851" s="112"/>
      <c r="C851" s="112"/>
      <c r="D851" s="112"/>
      <c r="E851" s="130"/>
      <c r="F851" s="130"/>
      <c r="G851" s="130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>
      <c r="A852" s="112"/>
      <c r="B852" s="112"/>
      <c r="C852" s="112"/>
      <c r="D852" s="112"/>
      <c r="E852" s="130"/>
      <c r="F852" s="130"/>
      <c r="G852" s="130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>
      <c r="A853" s="112"/>
      <c r="B853" s="112"/>
      <c r="C853" s="112"/>
      <c r="D853" s="112"/>
      <c r="E853" s="130"/>
      <c r="F853" s="130"/>
      <c r="G853" s="130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>
      <c r="A854" s="112"/>
      <c r="B854" s="112"/>
      <c r="C854" s="112"/>
      <c r="D854" s="112"/>
      <c r="E854" s="130"/>
      <c r="F854" s="130"/>
      <c r="G854" s="130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>
      <c r="A855" s="112"/>
      <c r="B855" s="112"/>
      <c r="C855" s="112"/>
      <c r="D855" s="112"/>
      <c r="E855" s="130"/>
      <c r="F855" s="130"/>
      <c r="G855" s="130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>
      <c r="A856" s="112"/>
      <c r="B856" s="112"/>
      <c r="C856" s="112"/>
      <c r="D856" s="112"/>
      <c r="E856" s="130"/>
      <c r="F856" s="130"/>
      <c r="G856" s="130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>
      <c r="A857" s="112"/>
      <c r="B857" s="112"/>
      <c r="C857" s="112"/>
      <c r="D857" s="112"/>
      <c r="E857" s="130"/>
      <c r="F857" s="130"/>
      <c r="G857" s="130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>
      <c r="A858" s="112"/>
      <c r="B858" s="112"/>
      <c r="C858" s="112"/>
      <c r="D858" s="112"/>
      <c r="E858" s="130"/>
      <c r="F858" s="130"/>
      <c r="G858" s="130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>
      <c r="A859" s="112"/>
      <c r="B859" s="112"/>
      <c r="C859" s="112"/>
      <c r="D859" s="112"/>
      <c r="E859" s="130"/>
      <c r="F859" s="130"/>
      <c r="G859" s="130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>
      <c r="A860" s="112"/>
      <c r="B860" s="112"/>
      <c r="C860" s="112"/>
      <c r="D860" s="112"/>
      <c r="E860" s="130"/>
      <c r="F860" s="130"/>
      <c r="G860" s="130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>
      <c r="A861" s="112"/>
      <c r="B861" s="112"/>
      <c r="C861" s="112"/>
      <c r="D861" s="112"/>
      <c r="E861" s="130"/>
      <c r="F861" s="130"/>
      <c r="G861" s="130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>
      <c r="A862" s="112"/>
      <c r="B862" s="112"/>
      <c r="C862" s="112"/>
      <c r="D862" s="112"/>
      <c r="E862" s="130"/>
      <c r="F862" s="130"/>
      <c r="G862" s="130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>
      <c r="A863" s="112"/>
      <c r="B863" s="112"/>
      <c r="C863" s="112"/>
      <c r="D863" s="112"/>
      <c r="E863" s="130"/>
      <c r="F863" s="130"/>
      <c r="G863" s="130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>
      <c r="A864" s="112"/>
      <c r="B864" s="112"/>
      <c r="C864" s="112"/>
      <c r="D864" s="112"/>
      <c r="E864" s="130"/>
      <c r="F864" s="130"/>
      <c r="G864" s="130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>
      <c r="A865" s="112"/>
      <c r="B865" s="112"/>
      <c r="C865" s="112"/>
      <c r="D865" s="112"/>
      <c r="E865" s="130"/>
      <c r="F865" s="130"/>
      <c r="G865" s="130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>
      <c r="A866" s="112"/>
      <c r="B866" s="112"/>
      <c r="C866" s="112"/>
      <c r="D866" s="112"/>
      <c r="E866" s="130"/>
      <c r="F866" s="130"/>
      <c r="G866" s="130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>
      <c r="A867" s="112"/>
      <c r="B867" s="112"/>
      <c r="C867" s="112"/>
      <c r="D867" s="112"/>
      <c r="E867" s="130"/>
      <c r="F867" s="130"/>
      <c r="G867" s="130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>
      <c r="A868" s="112"/>
      <c r="B868" s="112"/>
      <c r="C868" s="112"/>
      <c r="D868" s="112"/>
      <c r="E868" s="130"/>
      <c r="F868" s="130"/>
      <c r="G868" s="130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>
      <c r="A869" s="112"/>
      <c r="B869" s="112"/>
      <c r="C869" s="112"/>
      <c r="D869" s="112"/>
      <c r="E869" s="130"/>
      <c r="F869" s="130"/>
      <c r="G869" s="130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>
      <c r="A870" s="112"/>
      <c r="B870" s="112"/>
      <c r="C870" s="112"/>
      <c r="D870" s="112"/>
      <c r="E870" s="130"/>
      <c r="F870" s="130"/>
      <c r="G870" s="130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>
      <c r="A871" s="112"/>
      <c r="B871" s="112"/>
      <c r="C871" s="112"/>
      <c r="D871" s="112"/>
      <c r="E871" s="130"/>
      <c r="F871" s="130"/>
      <c r="G871" s="130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>
      <c r="A872" s="112"/>
      <c r="B872" s="112"/>
      <c r="C872" s="112"/>
      <c r="D872" s="112"/>
      <c r="E872" s="130"/>
      <c r="F872" s="130"/>
      <c r="G872" s="130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>
      <c r="A873" s="112"/>
      <c r="B873" s="112"/>
      <c r="C873" s="112"/>
      <c r="D873" s="112"/>
      <c r="E873" s="130"/>
      <c r="F873" s="130"/>
      <c r="G873" s="130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>
      <c r="A874" s="112"/>
      <c r="B874" s="112"/>
      <c r="C874" s="112"/>
      <c r="D874" s="112"/>
      <c r="E874" s="130"/>
      <c r="F874" s="130"/>
      <c r="G874" s="130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>
      <c r="A875" s="112"/>
      <c r="B875" s="112"/>
      <c r="C875" s="112"/>
      <c r="D875" s="112"/>
      <c r="E875" s="130"/>
      <c r="F875" s="130"/>
      <c r="G875" s="130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>
      <c r="A876" s="112"/>
      <c r="B876" s="112"/>
      <c r="C876" s="112"/>
      <c r="D876" s="112"/>
      <c r="E876" s="130"/>
      <c r="F876" s="130"/>
      <c r="G876" s="130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>
      <c r="A877" s="112"/>
      <c r="B877" s="112"/>
      <c r="C877" s="112"/>
      <c r="D877" s="112"/>
      <c r="E877" s="130"/>
      <c r="F877" s="130"/>
      <c r="G877" s="130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>
      <c r="A878" s="112"/>
      <c r="B878" s="112"/>
      <c r="C878" s="112"/>
      <c r="D878" s="112"/>
      <c r="E878" s="130"/>
      <c r="F878" s="130"/>
      <c r="G878" s="130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>
      <c r="A879" s="112"/>
      <c r="B879" s="112"/>
      <c r="C879" s="112"/>
      <c r="D879" s="112"/>
      <c r="E879" s="130"/>
      <c r="F879" s="130"/>
      <c r="G879" s="130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>
      <c r="A880" s="112"/>
      <c r="B880" s="112"/>
      <c r="C880" s="112"/>
      <c r="D880" s="112"/>
      <c r="E880" s="130"/>
      <c r="F880" s="130"/>
      <c r="G880" s="130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>
      <c r="A881" s="112"/>
      <c r="B881" s="112"/>
      <c r="C881" s="112"/>
      <c r="D881" s="112"/>
      <c r="E881" s="130"/>
      <c r="F881" s="130"/>
      <c r="G881" s="130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>
      <c r="A882" s="112"/>
      <c r="B882" s="112"/>
      <c r="C882" s="112"/>
      <c r="D882" s="112"/>
      <c r="E882" s="130"/>
      <c r="F882" s="130"/>
      <c r="G882" s="130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>
      <c r="A883" s="112"/>
      <c r="B883" s="112"/>
      <c r="C883" s="112"/>
      <c r="D883" s="112"/>
      <c r="E883" s="130"/>
      <c r="F883" s="130"/>
      <c r="G883" s="130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>
      <c r="A884" s="112"/>
      <c r="B884" s="112"/>
      <c r="C884" s="112"/>
      <c r="D884" s="112"/>
      <c r="E884" s="130"/>
      <c r="F884" s="130"/>
      <c r="G884" s="130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>
      <c r="A885" s="112"/>
      <c r="B885" s="112"/>
      <c r="C885" s="112"/>
      <c r="D885" s="112"/>
      <c r="E885" s="130"/>
      <c r="F885" s="130"/>
      <c r="G885" s="130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>
      <c r="A886" s="112"/>
      <c r="B886" s="112"/>
      <c r="C886" s="112"/>
      <c r="D886" s="112"/>
      <c r="E886" s="130"/>
      <c r="F886" s="130"/>
      <c r="G886" s="130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>
      <c r="A887" s="112"/>
      <c r="B887" s="112"/>
      <c r="C887" s="112"/>
      <c r="D887" s="112"/>
      <c r="E887" s="130"/>
      <c r="F887" s="130"/>
      <c r="G887" s="130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>
      <c r="A888" s="112"/>
      <c r="B888" s="112"/>
      <c r="C888" s="112"/>
      <c r="D888" s="112"/>
      <c r="E888" s="130"/>
      <c r="F888" s="130"/>
      <c r="G888" s="130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>
      <c r="A889" s="112"/>
      <c r="B889" s="112"/>
      <c r="C889" s="112"/>
      <c r="D889" s="112"/>
      <c r="E889" s="130"/>
      <c r="F889" s="130"/>
      <c r="G889" s="130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>
      <c r="A890" s="112"/>
      <c r="B890" s="112"/>
      <c r="C890" s="112"/>
      <c r="D890" s="112"/>
      <c r="E890" s="130"/>
      <c r="F890" s="130"/>
      <c r="G890" s="130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>
      <c r="A891" s="112"/>
      <c r="B891" s="112"/>
      <c r="C891" s="112"/>
      <c r="D891" s="112"/>
      <c r="E891" s="130"/>
      <c r="F891" s="130"/>
      <c r="G891" s="130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>
      <c r="A892" s="112"/>
      <c r="B892" s="112"/>
      <c r="C892" s="112"/>
      <c r="D892" s="112"/>
      <c r="E892" s="130"/>
      <c r="F892" s="130"/>
      <c r="G892" s="130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>
      <c r="A893" s="112"/>
      <c r="B893" s="112"/>
      <c r="C893" s="112"/>
      <c r="D893" s="112"/>
      <c r="E893" s="130"/>
      <c r="F893" s="130"/>
      <c r="G893" s="130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>
      <c r="A894" s="112"/>
      <c r="B894" s="112"/>
      <c r="C894" s="112"/>
      <c r="D894" s="112"/>
      <c r="E894" s="130"/>
      <c r="F894" s="130"/>
      <c r="G894" s="130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>
      <c r="A895" s="112"/>
      <c r="B895" s="112"/>
      <c r="C895" s="112"/>
      <c r="D895" s="112"/>
      <c r="E895" s="130"/>
      <c r="F895" s="130"/>
      <c r="G895" s="130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>
      <c r="A896" s="112"/>
      <c r="B896" s="112"/>
      <c r="C896" s="112"/>
      <c r="D896" s="112"/>
      <c r="E896" s="130"/>
      <c r="F896" s="130"/>
      <c r="G896" s="130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>
      <c r="A897" s="112"/>
      <c r="B897" s="112"/>
      <c r="C897" s="112"/>
      <c r="D897" s="112"/>
      <c r="E897" s="130"/>
      <c r="F897" s="130"/>
      <c r="G897" s="130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>
      <c r="A898" s="112"/>
      <c r="B898" s="112"/>
      <c r="C898" s="112"/>
      <c r="D898" s="112"/>
      <c r="E898" s="130"/>
      <c r="F898" s="130"/>
      <c r="G898" s="130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>
      <c r="A899" s="112"/>
      <c r="B899" s="112"/>
      <c r="C899" s="112"/>
      <c r="D899" s="112"/>
      <c r="E899" s="130"/>
      <c r="F899" s="130"/>
      <c r="G899" s="130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>
      <c r="A900" s="112"/>
      <c r="B900" s="112"/>
      <c r="C900" s="112"/>
      <c r="D900" s="112"/>
      <c r="E900" s="130"/>
      <c r="F900" s="130"/>
      <c r="G900" s="130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>
      <c r="A901" s="112"/>
      <c r="B901" s="112"/>
      <c r="C901" s="112"/>
      <c r="D901" s="112"/>
      <c r="E901" s="130"/>
      <c r="F901" s="130"/>
      <c r="G901" s="130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>
      <c r="A902" s="112"/>
      <c r="B902" s="112"/>
      <c r="C902" s="112"/>
      <c r="D902" s="112"/>
      <c r="E902" s="130"/>
      <c r="F902" s="130"/>
      <c r="G902" s="130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>
      <c r="A903" s="112"/>
      <c r="B903" s="112"/>
      <c r="C903" s="112"/>
      <c r="D903" s="112"/>
      <c r="E903" s="130"/>
      <c r="F903" s="130"/>
      <c r="G903" s="130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>
      <c r="A904" s="112"/>
      <c r="B904" s="112"/>
      <c r="C904" s="112"/>
      <c r="D904" s="112"/>
      <c r="E904" s="130"/>
      <c r="F904" s="130"/>
      <c r="G904" s="130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>
      <c r="A905" s="112"/>
      <c r="B905" s="112"/>
      <c r="C905" s="112"/>
      <c r="D905" s="112"/>
      <c r="E905" s="130"/>
      <c r="F905" s="130"/>
      <c r="G905" s="130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>
      <c r="A906" s="112"/>
      <c r="B906" s="112"/>
      <c r="C906" s="112"/>
      <c r="D906" s="112"/>
      <c r="E906" s="130"/>
      <c r="F906" s="130"/>
      <c r="G906" s="130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>
      <c r="A907" s="112"/>
      <c r="B907" s="112"/>
      <c r="C907" s="112"/>
      <c r="D907" s="112"/>
      <c r="E907" s="130"/>
      <c r="F907" s="130"/>
      <c r="G907" s="130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>
      <c r="A908" s="112"/>
      <c r="B908" s="112"/>
      <c r="C908" s="112"/>
      <c r="D908" s="112"/>
      <c r="E908" s="130"/>
      <c r="F908" s="130"/>
      <c r="G908" s="130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>
      <c r="A909" s="112"/>
      <c r="B909" s="112"/>
      <c r="C909" s="112"/>
      <c r="D909" s="112"/>
      <c r="E909" s="130"/>
      <c r="F909" s="130"/>
      <c r="G909" s="130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>
      <c r="A910" s="112"/>
      <c r="B910" s="112"/>
      <c r="C910" s="112"/>
      <c r="D910" s="112"/>
      <c r="E910" s="130"/>
      <c r="F910" s="130"/>
      <c r="G910" s="130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>
      <c r="A911" s="112"/>
      <c r="B911" s="112"/>
      <c r="C911" s="112"/>
      <c r="D911" s="112"/>
      <c r="E911" s="130"/>
      <c r="F911" s="130"/>
      <c r="G911" s="130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>
      <c r="A912" s="112"/>
      <c r="B912" s="112"/>
      <c r="C912" s="112"/>
      <c r="D912" s="112"/>
      <c r="E912" s="130"/>
      <c r="F912" s="130"/>
      <c r="G912" s="130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>
      <c r="A913" s="112"/>
      <c r="B913" s="112"/>
      <c r="C913" s="112"/>
      <c r="D913" s="112"/>
      <c r="E913" s="130"/>
      <c r="F913" s="130"/>
      <c r="G913" s="130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>
      <c r="A914" s="112"/>
      <c r="B914" s="112"/>
      <c r="C914" s="112"/>
      <c r="D914" s="112"/>
      <c r="E914" s="130"/>
      <c r="F914" s="130"/>
      <c r="G914" s="130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>
      <c r="A915" s="112"/>
      <c r="B915" s="112"/>
      <c r="C915" s="112"/>
      <c r="D915" s="112"/>
      <c r="E915" s="130"/>
      <c r="F915" s="130"/>
      <c r="G915" s="130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>
      <c r="A916" s="112"/>
      <c r="B916" s="112"/>
      <c r="C916" s="112"/>
      <c r="D916" s="112"/>
      <c r="E916" s="130"/>
      <c r="F916" s="130"/>
      <c r="G916" s="130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>
      <c r="A917" s="112"/>
      <c r="B917" s="112"/>
      <c r="C917" s="112"/>
      <c r="D917" s="112"/>
      <c r="E917" s="130"/>
      <c r="F917" s="130"/>
      <c r="G917" s="130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>
      <c r="A918" s="112"/>
      <c r="B918" s="112"/>
      <c r="C918" s="112"/>
      <c r="D918" s="112"/>
      <c r="E918" s="130"/>
      <c r="F918" s="130"/>
      <c r="G918" s="130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>
      <c r="A919" s="112"/>
      <c r="B919" s="112"/>
      <c r="C919" s="112"/>
      <c r="D919" s="112"/>
      <c r="E919" s="130"/>
      <c r="F919" s="130"/>
      <c r="G919" s="130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>
      <c r="A920" s="112"/>
      <c r="B920" s="112"/>
      <c r="C920" s="112"/>
      <c r="D920" s="112"/>
      <c r="E920" s="130"/>
      <c r="F920" s="130"/>
      <c r="G920" s="130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>
      <c r="A921" s="112"/>
      <c r="B921" s="112"/>
      <c r="C921" s="112"/>
      <c r="D921" s="112"/>
      <c r="E921" s="130"/>
      <c r="F921" s="130"/>
      <c r="G921" s="130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>
      <c r="A922" s="112"/>
      <c r="B922" s="112"/>
      <c r="C922" s="112"/>
      <c r="D922" s="112"/>
      <c r="E922" s="130"/>
      <c r="F922" s="130"/>
      <c r="G922" s="130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>
      <c r="A923" s="112"/>
      <c r="B923" s="112"/>
      <c r="C923" s="112"/>
      <c r="D923" s="112"/>
      <c r="E923" s="130"/>
      <c r="F923" s="130"/>
      <c r="G923" s="130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>
      <c r="A924" s="112"/>
      <c r="B924" s="112"/>
      <c r="C924" s="112"/>
      <c r="D924" s="112"/>
      <c r="E924" s="130"/>
      <c r="F924" s="130"/>
      <c r="G924" s="130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>
      <c r="A925" s="112"/>
      <c r="B925" s="112"/>
      <c r="C925" s="112"/>
      <c r="D925" s="112"/>
      <c r="E925" s="130"/>
      <c r="F925" s="130"/>
      <c r="G925" s="130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>
      <c r="A926" s="112"/>
      <c r="B926" s="112"/>
      <c r="C926" s="112"/>
      <c r="D926" s="112"/>
      <c r="E926" s="130"/>
      <c r="F926" s="130"/>
      <c r="G926" s="130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>
      <c r="A927" s="112"/>
      <c r="B927" s="112"/>
      <c r="C927" s="112"/>
      <c r="D927" s="112"/>
      <c r="E927" s="130"/>
      <c r="F927" s="130"/>
      <c r="G927" s="130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>
      <c r="A928" s="112"/>
      <c r="B928" s="112"/>
      <c r="C928" s="112"/>
      <c r="D928" s="112"/>
      <c r="E928" s="130"/>
      <c r="F928" s="130"/>
      <c r="G928" s="130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>
      <c r="A929" s="112"/>
      <c r="B929" s="112"/>
      <c r="C929" s="112"/>
      <c r="D929" s="112"/>
      <c r="E929" s="130"/>
      <c r="F929" s="130"/>
      <c r="G929" s="130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>
      <c r="A930" s="112"/>
      <c r="B930" s="112"/>
      <c r="C930" s="112"/>
      <c r="D930" s="112"/>
      <c r="E930" s="130"/>
      <c r="F930" s="130"/>
      <c r="G930" s="130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>
      <c r="A931" s="112"/>
      <c r="B931" s="112"/>
      <c r="C931" s="112"/>
      <c r="D931" s="112"/>
      <c r="E931" s="130"/>
      <c r="F931" s="130"/>
      <c r="G931" s="130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>
      <c r="A932" s="112"/>
      <c r="B932" s="112"/>
      <c r="C932" s="112"/>
      <c r="D932" s="112"/>
      <c r="E932" s="130"/>
      <c r="F932" s="130"/>
      <c r="G932" s="130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>
      <c r="A933" s="112"/>
      <c r="B933" s="112"/>
      <c r="C933" s="112"/>
      <c r="D933" s="112"/>
      <c r="E933" s="130"/>
      <c r="F933" s="130"/>
      <c r="G933" s="130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>
      <c r="A934" s="112"/>
      <c r="B934" s="112"/>
      <c r="C934" s="112"/>
      <c r="D934" s="112"/>
      <c r="E934" s="130"/>
      <c r="F934" s="130"/>
      <c r="G934" s="130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>
      <c r="A935" s="112"/>
      <c r="B935" s="112"/>
      <c r="C935" s="112"/>
      <c r="D935" s="112"/>
      <c r="E935" s="130"/>
      <c r="F935" s="130"/>
      <c r="G935" s="130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>
      <c r="A936" s="112"/>
      <c r="B936" s="112"/>
      <c r="C936" s="112"/>
      <c r="D936" s="112"/>
      <c r="E936" s="130"/>
      <c r="F936" s="130"/>
      <c r="G936" s="130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>
      <c r="A937" s="112"/>
      <c r="B937" s="112"/>
      <c r="C937" s="112"/>
      <c r="D937" s="112"/>
      <c r="E937" s="130"/>
      <c r="F937" s="130"/>
      <c r="G937" s="130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>
      <c r="A938" s="112"/>
      <c r="B938" s="112"/>
      <c r="C938" s="112"/>
      <c r="D938" s="112"/>
      <c r="E938" s="130"/>
      <c r="F938" s="130"/>
      <c r="G938" s="130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>
      <c r="A939" s="112"/>
      <c r="B939" s="112"/>
      <c r="C939" s="112"/>
      <c r="D939" s="112"/>
      <c r="E939" s="130"/>
      <c r="F939" s="130"/>
      <c r="G939" s="130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>
      <c r="A940" s="112"/>
      <c r="B940" s="112"/>
      <c r="C940" s="112"/>
      <c r="D940" s="112"/>
      <c r="E940" s="130"/>
      <c r="F940" s="130"/>
      <c r="G940" s="130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>
      <c r="A941" s="112"/>
      <c r="B941" s="112"/>
      <c r="C941" s="112"/>
      <c r="D941" s="112"/>
      <c r="E941" s="130"/>
      <c r="F941" s="130"/>
      <c r="G941" s="130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>
      <c r="A942" s="112"/>
      <c r="B942" s="112"/>
      <c r="C942" s="112"/>
      <c r="D942" s="112"/>
      <c r="E942" s="130"/>
      <c r="F942" s="130"/>
      <c r="G942" s="130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>
      <c r="A943" s="112"/>
      <c r="B943" s="112"/>
      <c r="C943" s="112"/>
      <c r="D943" s="112"/>
      <c r="E943" s="130"/>
      <c r="F943" s="130"/>
      <c r="G943" s="130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>
      <c r="A944" s="112"/>
      <c r="B944" s="112"/>
      <c r="C944" s="112"/>
      <c r="D944" s="112"/>
      <c r="E944" s="130"/>
      <c r="F944" s="130"/>
      <c r="G944" s="130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>
      <c r="A945" s="112"/>
      <c r="B945" s="112"/>
      <c r="C945" s="112"/>
      <c r="D945" s="112"/>
      <c r="E945" s="130"/>
      <c r="F945" s="130"/>
      <c r="G945" s="130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>
      <c r="A946" s="112"/>
      <c r="B946" s="112"/>
      <c r="C946" s="112"/>
      <c r="D946" s="112"/>
      <c r="E946" s="130"/>
      <c r="F946" s="130"/>
      <c r="G946" s="130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>
      <c r="A947" s="112"/>
      <c r="B947" s="112"/>
      <c r="C947" s="112"/>
      <c r="D947" s="112"/>
      <c r="E947" s="130"/>
      <c r="F947" s="130"/>
      <c r="G947" s="130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>
      <c r="A948" s="112"/>
      <c r="B948" s="112"/>
      <c r="C948" s="112"/>
      <c r="D948" s="112"/>
      <c r="E948" s="130"/>
      <c r="F948" s="130"/>
      <c r="G948" s="130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>
      <c r="A949" s="112"/>
      <c r="B949" s="112"/>
      <c r="C949" s="112"/>
      <c r="D949" s="112"/>
      <c r="E949" s="130"/>
      <c r="F949" s="130"/>
      <c r="G949" s="130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>
      <c r="A950" s="112"/>
      <c r="B950" s="112"/>
      <c r="C950" s="112"/>
      <c r="D950" s="112"/>
      <c r="E950" s="130"/>
      <c r="F950" s="130"/>
      <c r="G950" s="130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>
      <c r="A951" s="112"/>
      <c r="B951" s="112"/>
      <c r="C951" s="112"/>
      <c r="D951" s="112"/>
      <c r="E951" s="130"/>
      <c r="F951" s="130"/>
      <c r="G951" s="130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>
      <c r="A952" s="112"/>
      <c r="B952" s="112"/>
      <c r="C952" s="112"/>
      <c r="D952" s="112"/>
      <c r="E952" s="130"/>
      <c r="F952" s="130"/>
      <c r="G952" s="130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>
      <c r="A953" s="112"/>
      <c r="B953" s="112"/>
      <c r="C953" s="112"/>
      <c r="D953" s="112"/>
      <c r="E953" s="130"/>
      <c r="F953" s="130"/>
      <c r="G953" s="130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>
      <c r="A954" s="112"/>
      <c r="B954" s="112"/>
      <c r="C954" s="112"/>
      <c r="D954" s="112"/>
      <c r="E954" s="130"/>
      <c r="F954" s="130"/>
      <c r="G954" s="130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>
      <c r="A955" s="112"/>
      <c r="B955" s="112"/>
      <c r="C955" s="112"/>
      <c r="D955" s="112"/>
      <c r="E955" s="130"/>
      <c r="F955" s="130"/>
      <c r="G955" s="130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>
      <c r="A956" s="112"/>
      <c r="B956" s="112"/>
      <c r="C956" s="112"/>
      <c r="D956" s="112"/>
      <c r="E956" s="130"/>
      <c r="F956" s="130"/>
      <c r="G956" s="130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>
      <c r="A957" s="112"/>
      <c r="B957" s="112"/>
      <c r="C957" s="112"/>
      <c r="D957" s="112"/>
      <c r="E957" s="130"/>
      <c r="F957" s="130"/>
      <c r="G957" s="130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>
      <c r="A958" s="112"/>
      <c r="B958" s="112"/>
      <c r="C958" s="112"/>
      <c r="D958" s="112"/>
      <c r="E958" s="130"/>
      <c r="F958" s="130"/>
      <c r="G958" s="130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>
      <c r="A959" s="112"/>
      <c r="B959" s="112"/>
      <c r="C959" s="112"/>
      <c r="D959" s="112"/>
      <c r="E959" s="130"/>
      <c r="F959" s="130"/>
      <c r="G959" s="130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>
      <c r="A960" s="112"/>
      <c r="B960" s="112"/>
      <c r="C960" s="112"/>
      <c r="D960" s="112"/>
      <c r="E960" s="130"/>
      <c r="F960" s="130"/>
      <c r="G960" s="130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>
      <c r="A961" s="112"/>
      <c r="B961" s="112"/>
      <c r="C961" s="112"/>
      <c r="D961" s="112"/>
      <c r="E961" s="130"/>
      <c r="F961" s="130"/>
      <c r="G961" s="130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>
      <c r="A962" s="112"/>
      <c r="B962" s="112"/>
      <c r="C962" s="112"/>
      <c r="D962" s="112"/>
      <c r="E962" s="130"/>
      <c r="F962" s="130"/>
      <c r="G962" s="130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>
      <c r="A963" s="112"/>
      <c r="B963" s="112"/>
      <c r="C963" s="112"/>
      <c r="D963" s="112"/>
      <c r="E963" s="130"/>
      <c r="F963" s="130"/>
      <c r="G963" s="130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>
      <c r="A964" s="112"/>
      <c r="B964" s="112"/>
      <c r="C964" s="112"/>
      <c r="D964" s="112"/>
      <c r="E964" s="130"/>
      <c r="F964" s="130"/>
      <c r="G964" s="130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>
      <c r="A965" s="112"/>
      <c r="B965" s="112"/>
      <c r="C965" s="112"/>
      <c r="D965" s="112"/>
      <c r="E965" s="130"/>
      <c r="F965" s="130"/>
      <c r="G965" s="130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>
      <c r="A966" s="112"/>
      <c r="B966" s="112"/>
      <c r="C966" s="112"/>
      <c r="D966" s="112"/>
      <c r="E966" s="130"/>
      <c r="F966" s="130"/>
      <c r="G966" s="130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>
      <c r="A967" s="112"/>
      <c r="B967" s="112"/>
      <c r="C967" s="112"/>
      <c r="D967" s="112"/>
      <c r="E967" s="130"/>
      <c r="F967" s="130"/>
      <c r="G967" s="130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>
      <c r="A968" s="112"/>
      <c r="B968" s="112"/>
      <c r="C968" s="112"/>
      <c r="D968" s="112"/>
      <c r="E968" s="130"/>
      <c r="F968" s="130"/>
      <c r="G968" s="130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>
      <c r="A969" s="112"/>
      <c r="B969" s="112"/>
      <c r="C969" s="112"/>
      <c r="D969" s="112"/>
      <c r="E969" s="130"/>
      <c r="F969" s="130"/>
      <c r="G969" s="130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>
      <c r="A970" s="112"/>
      <c r="B970" s="112"/>
      <c r="C970" s="112"/>
      <c r="D970" s="112"/>
      <c r="E970" s="130"/>
      <c r="F970" s="130"/>
      <c r="G970" s="130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>
      <c r="A971" s="112"/>
      <c r="B971" s="112"/>
      <c r="C971" s="112"/>
      <c r="D971" s="112"/>
      <c r="E971" s="130"/>
      <c r="F971" s="130"/>
      <c r="G971" s="130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>
      <c r="A972" s="112"/>
      <c r="B972" s="112"/>
      <c r="C972" s="112"/>
      <c r="D972" s="112"/>
      <c r="E972" s="130"/>
      <c r="F972" s="130"/>
      <c r="G972" s="130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>
      <c r="A973" s="112"/>
      <c r="B973" s="112"/>
      <c r="C973" s="112"/>
      <c r="D973" s="112"/>
      <c r="E973" s="130"/>
      <c r="F973" s="130"/>
      <c r="G973" s="130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>
      <c r="A974" s="112"/>
      <c r="B974" s="112"/>
      <c r="C974" s="112"/>
      <c r="D974" s="112"/>
      <c r="E974" s="130"/>
      <c r="F974" s="130"/>
      <c r="G974" s="130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>
      <c r="A975" s="112"/>
      <c r="B975" s="112"/>
      <c r="C975" s="112"/>
      <c r="D975" s="112"/>
      <c r="E975" s="130"/>
      <c r="F975" s="130"/>
      <c r="G975" s="130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>
      <c r="A976" s="112"/>
      <c r="B976" s="112"/>
      <c r="C976" s="112"/>
      <c r="D976" s="112"/>
      <c r="E976" s="130"/>
      <c r="F976" s="130"/>
      <c r="G976" s="130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>
      <c r="A977" s="112"/>
      <c r="B977" s="112"/>
      <c r="C977" s="112"/>
      <c r="D977" s="112"/>
      <c r="E977" s="130"/>
      <c r="F977" s="130"/>
      <c r="G977" s="130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>
      <c r="A978" s="112"/>
      <c r="B978" s="112"/>
      <c r="C978" s="112"/>
      <c r="D978" s="112"/>
      <c r="E978" s="130"/>
      <c r="F978" s="130"/>
      <c r="G978" s="130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>
      <c r="A979" s="112"/>
      <c r="B979" s="112"/>
      <c r="C979" s="112"/>
      <c r="D979" s="112"/>
      <c r="E979" s="130"/>
      <c r="F979" s="130"/>
      <c r="G979" s="130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>
      <c r="A980" s="112"/>
      <c r="B980" s="112"/>
      <c r="C980" s="112"/>
      <c r="D980" s="112"/>
      <c r="E980" s="130"/>
      <c r="F980" s="130"/>
      <c r="G980" s="130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>
      <c r="A981" s="112"/>
      <c r="B981" s="112"/>
      <c r="C981" s="112"/>
      <c r="D981" s="112"/>
      <c r="E981" s="130"/>
      <c r="F981" s="130"/>
      <c r="G981" s="130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>
      <c r="A982" s="112"/>
      <c r="B982" s="112"/>
      <c r="C982" s="112"/>
      <c r="D982" s="112"/>
      <c r="E982" s="130"/>
      <c r="F982" s="130"/>
      <c r="G982" s="130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>
      <c r="A983" s="112"/>
      <c r="B983" s="112"/>
      <c r="C983" s="112"/>
      <c r="D983" s="112"/>
      <c r="E983" s="130"/>
      <c r="F983" s="130"/>
      <c r="G983" s="130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>
      <c r="A984" s="112"/>
      <c r="B984" s="112"/>
      <c r="C984" s="112"/>
      <c r="D984" s="112"/>
      <c r="E984" s="130"/>
      <c r="F984" s="130"/>
      <c r="G984" s="130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>
      <c r="A985" s="112"/>
      <c r="B985" s="112"/>
      <c r="C985" s="112"/>
      <c r="D985" s="112"/>
      <c r="E985" s="130"/>
      <c r="F985" s="130"/>
      <c r="G985" s="130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>
      <c r="A986" s="112"/>
      <c r="B986" s="112"/>
      <c r="C986" s="112"/>
      <c r="D986" s="112"/>
      <c r="E986" s="130"/>
      <c r="F986" s="130"/>
      <c r="G986" s="130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>
      <c r="A987" s="112"/>
      <c r="B987" s="112"/>
      <c r="C987" s="112"/>
      <c r="D987" s="112"/>
      <c r="E987" s="130"/>
      <c r="F987" s="130"/>
      <c r="G987" s="130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>
      <c r="A988" s="112"/>
      <c r="B988" s="112"/>
      <c r="C988" s="112"/>
      <c r="D988" s="112"/>
      <c r="E988" s="130"/>
      <c r="F988" s="130"/>
      <c r="G988" s="130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>
      <c r="A989" s="112"/>
      <c r="B989" s="112"/>
      <c r="C989" s="112"/>
      <c r="D989" s="112"/>
      <c r="E989" s="130"/>
      <c r="F989" s="130"/>
      <c r="G989" s="130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>
      <c r="A990" s="112"/>
      <c r="B990" s="112"/>
      <c r="C990" s="112"/>
      <c r="D990" s="112"/>
      <c r="E990" s="130"/>
      <c r="F990" s="130"/>
      <c r="G990" s="130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>
      <c r="A991" s="112"/>
      <c r="B991" s="112"/>
      <c r="C991" s="112"/>
      <c r="D991" s="112"/>
      <c r="E991" s="130"/>
      <c r="F991" s="130"/>
      <c r="G991" s="130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>
      <c r="A992" s="112"/>
      <c r="B992" s="112"/>
      <c r="C992" s="112"/>
      <c r="D992" s="112"/>
      <c r="E992" s="130"/>
      <c r="F992" s="130"/>
      <c r="G992" s="130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>
      <c r="A993" s="112"/>
      <c r="B993" s="112"/>
      <c r="C993" s="112"/>
      <c r="D993" s="112"/>
      <c r="E993" s="130"/>
      <c r="F993" s="130"/>
      <c r="G993" s="130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>
      <c r="A994" s="112"/>
      <c r="B994" s="112"/>
      <c r="C994" s="112"/>
      <c r="D994" s="112"/>
      <c r="E994" s="130"/>
      <c r="F994" s="130"/>
      <c r="G994" s="130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>
      <c r="A995" s="112"/>
      <c r="B995" s="112"/>
      <c r="C995" s="112"/>
      <c r="D995" s="112"/>
      <c r="E995" s="130"/>
      <c r="F995" s="130"/>
      <c r="G995" s="130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>
      <c r="A996" s="112"/>
      <c r="B996" s="112"/>
      <c r="C996" s="112"/>
      <c r="D996" s="112"/>
      <c r="E996" s="130"/>
      <c r="F996" s="130"/>
      <c r="G996" s="130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>
      <c r="A997" s="112"/>
      <c r="B997" s="112"/>
      <c r="C997" s="112"/>
      <c r="D997" s="112"/>
      <c r="E997" s="130"/>
      <c r="F997" s="130"/>
      <c r="G997" s="130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>
      <c r="A998" s="112"/>
      <c r="B998" s="112"/>
      <c r="C998" s="112"/>
      <c r="D998" s="112"/>
      <c r="E998" s="130"/>
      <c r="F998" s="130"/>
      <c r="G998" s="130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>
      <c r="A999" s="112"/>
      <c r="B999" s="112"/>
      <c r="C999" s="112"/>
      <c r="D999" s="112"/>
      <c r="E999" s="130"/>
      <c r="F999" s="130"/>
      <c r="G999" s="130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5.75" customHeight="1">
      <c r="A1000" s="112"/>
      <c r="B1000" s="112"/>
      <c r="C1000" s="112"/>
      <c r="D1000" s="112"/>
      <c r="E1000" s="130"/>
      <c r="F1000" s="130"/>
      <c r="G1000" s="130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mergeCells count="15">
    <mergeCell ref="B58:E58"/>
    <mergeCell ref="B59:E59"/>
    <mergeCell ref="B60:E60"/>
    <mergeCell ref="B2:G2"/>
    <mergeCell ref="B3:G3"/>
    <mergeCell ref="B38:E38"/>
    <mergeCell ref="B39:E39"/>
    <mergeCell ref="B40:E40"/>
    <mergeCell ref="B42:G42"/>
    <mergeCell ref="B43:G43"/>
    <mergeCell ref="B49:E49"/>
    <mergeCell ref="B50:E50"/>
    <mergeCell ref="B51:E51"/>
    <mergeCell ref="B53:G53"/>
    <mergeCell ref="B54:G54"/>
  </mergeCells>
  <pageMargins left="0.511811024" right="0.511811024" top="0.78740157499999996" bottom="0.78740157499999996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/>
  </sheetViews>
  <sheetFormatPr defaultColWidth="14.42578125" defaultRowHeight="15" customHeight="1"/>
  <cols>
    <col min="1" max="2" width="9.140625" customWidth="1"/>
    <col min="3" max="3" width="23.42578125" customWidth="1"/>
    <col min="4" max="4" width="9.140625" customWidth="1"/>
    <col min="5" max="5" width="11.7109375" customWidth="1"/>
    <col min="6" max="6" width="13.140625" customWidth="1"/>
    <col min="7" max="26" width="8.7109375" customWidth="1"/>
  </cols>
  <sheetData>
    <row r="1" spans="1:26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>
      <c r="A2" s="112"/>
      <c r="B2" s="267" t="s">
        <v>425</v>
      </c>
      <c r="C2" s="268"/>
      <c r="D2" s="268"/>
      <c r="E2" s="268"/>
      <c r="F2" s="210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>
      <c r="A3" s="112"/>
      <c r="B3" s="269" t="s">
        <v>416</v>
      </c>
      <c r="C3" s="268"/>
      <c r="D3" s="268"/>
      <c r="E3" s="268"/>
      <c r="F3" s="210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25.5">
      <c r="A4" s="112"/>
      <c r="B4" s="131" t="s">
        <v>1</v>
      </c>
      <c r="C4" s="132" t="s">
        <v>338</v>
      </c>
      <c r="D4" s="132" t="s">
        <v>5</v>
      </c>
      <c r="E4" s="132" t="s">
        <v>4</v>
      </c>
      <c r="F4" s="132" t="s">
        <v>339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5.75">
      <c r="A5" s="112"/>
      <c r="B5" s="133">
        <v>1</v>
      </c>
      <c r="C5" s="134" t="s">
        <v>426</v>
      </c>
      <c r="D5" s="152">
        <v>1000</v>
      </c>
      <c r="E5" s="136">
        <f>(14.36+13.92+14.69)/3</f>
        <v>14.323333333333332</v>
      </c>
      <c r="F5" s="137">
        <f t="shared" ref="F5:F39" si="0">E5*D5</f>
        <v>14323.333333333332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15.75">
      <c r="A6" s="112"/>
      <c r="B6" s="133">
        <v>2</v>
      </c>
      <c r="C6" s="134" t="s">
        <v>427</v>
      </c>
      <c r="D6" s="153">
        <v>3000</v>
      </c>
      <c r="E6" s="136">
        <f>(16.35+16.89+11.23)/3</f>
        <v>14.823333333333332</v>
      </c>
      <c r="F6" s="137">
        <f t="shared" si="0"/>
        <v>44470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15.75">
      <c r="A7" s="112"/>
      <c r="B7" s="133">
        <v>3</v>
      </c>
      <c r="C7" s="134" t="s">
        <v>428</v>
      </c>
      <c r="D7" s="154">
        <v>500</v>
      </c>
      <c r="E7" s="136">
        <f>(19.9+23.9+19.89)/3</f>
        <v>21.23</v>
      </c>
      <c r="F7" s="137">
        <f t="shared" si="0"/>
        <v>10615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15.75">
      <c r="A8" s="112"/>
      <c r="B8" s="133">
        <v>4</v>
      </c>
      <c r="C8" s="134" t="s">
        <v>429</v>
      </c>
      <c r="D8" s="153">
        <v>1500</v>
      </c>
      <c r="E8" s="136">
        <f>(17.9+22.99+23.59)/3</f>
        <v>21.493333333333336</v>
      </c>
      <c r="F8" s="137">
        <f t="shared" si="0"/>
        <v>32240.000000000004</v>
      </c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45">
      <c r="A9" s="112"/>
      <c r="B9" s="133">
        <v>5</v>
      </c>
      <c r="C9" s="134" t="s">
        <v>430</v>
      </c>
      <c r="D9" s="154">
        <v>5000</v>
      </c>
      <c r="E9" s="136">
        <f>(3.9+3.14+3.29)/3</f>
        <v>3.4433333333333334</v>
      </c>
      <c r="F9" s="137">
        <f t="shared" si="0"/>
        <v>17216.666666666668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30">
      <c r="A10" s="112"/>
      <c r="B10" s="133">
        <v>6</v>
      </c>
      <c r="C10" s="134" t="s">
        <v>431</v>
      </c>
      <c r="D10" s="153">
        <v>2000</v>
      </c>
      <c r="E10" s="136">
        <f>(9.68+9.79+11.1)/3</f>
        <v>10.19</v>
      </c>
      <c r="F10" s="137">
        <f t="shared" si="0"/>
        <v>20380</v>
      </c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30">
      <c r="A11" s="112"/>
      <c r="B11" s="133">
        <v>7</v>
      </c>
      <c r="C11" s="134" t="s">
        <v>432</v>
      </c>
      <c r="D11" s="154">
        <v>200</v>
      </c>
      <c r="E11" s="136">
        <f>(3.4+2.35+3.25)/3</f>
        <v>3</v>
      </c>
      <c r="F11" s="137">
        <f t="shared" si="0"/>
        <v>600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30">
      <c r="A12" s="112"/>
      <c r="B12" s="133">
        <v>8</v>
      </c>
      <c r="C12" s="134" t="s">
        <v>433</v>
      </c>
      <c r="D12" s="153">
        <v>30000</v>
      </c>
      <c r="E12" s="136">
        <f>((257.05+296.91+211.97)/3)/100</f>
        <v>2.5531000000000001</v>
      </c>
      <c r="F12" s="137">
        <f t="shared" si="0"/>
        <v>76593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30">
      <c r="A13" s="112"/>
      <c r="B13" s="133">
        <v>9</v>
      </c>
      <c r="C13" s="134" t="s">
        <v>434</v>
      </c>
      <c r="D13" s="153">
        <v>20000</v>
      </c>
      <c r="E13" s="136">
        <f>((64.9+67+67.7)/3)/100</f>
        <v>0.66533333333333344</v>
      </c>
      <c r="F13" s="137">
        <f t="shared" si="0"/>
        <v>13306.66666666667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30">
      <c r="A14" s="112"/>
      <c r="B14" s="133">
        <v>10</v>
      </c>
      <c r="C14" s="134" t="s">
        <v>435</v>
      </c>
      <c r="D14" s="153">
        <v>100000</v>
      </c>
      <c r="E14" s="136">
        <f>((6.43+6.71+6.99)/3)/10</f>
        <v>0.67100000000000004</v>
      </c>
      <c r="F14" s="137">
        <f t="shared" si="0"/>
        <v>67100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5.75">
      <c r="A15" s="112"/>
      <c r="B15" s="133">
        <v>11</v>
      </c>
      <c r="C15" s="134" t="s">
        <v>436</v>
      </c>
      <c r="D15" s="153">
        <v>472</v>
      </c>
      <c r="E15" s="136">
        <f>((63.53+59.07+68.99)/3)/100</f>
        <v>0.63863333333333328</v>
      </c>
      <c r="F15" s="137">
        <f t="shared" si="0"/>
        <v>301.43493333333333</v>
      </c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45">
      <c r="A16" s="112"/>
      <c r="B16" s="133">
        <v>12</v>
      </c>
      <c r="C16" s="134" t="s">
        <v>437</v>
      </c>
      <c r="D16" s="153">
        <v>3390</v>
      </c>
      <c r="E16" s="136">
        <v>9.5399999999999991</v>
      </c>
      <c r="F16" s="137">
        <f t="shared" si="0"/>
        <v>32340.6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30">
      <c r="A17" s="112"/>
      <c r="B17" s="133">
        <v>13</v>
      </c>
      <c r="C17" s="134" t="s">
        <v>438</v>
      </c>
      <c r="D17" s="153">
        <v>16</v>
      </c>
      <c r="E17" s="136">
        <v>2.34</v>
      </c>
      <c r="F17" s="137">
        <f t="shared" si="0"/>
        <v>37.44</v>
      </c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>
      <c r="A18" s="112"/>
      <c r="B18" s="133">
        <v>14</v>
      </c>
      <c r="C18" s="134" t="s">
        <v>439</v>
      </c>
      <c r="D18" s="135">
        <v>64</v>
      </c>
      <c r="E18" s="136">
        <v>4.26</v>
      </c>
      <c r="F18" s="137">
        <f t="shared" si="0"/>
        <v>272.64</v>
      </c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30">
      <c r="A19" s="112"/>
      <c r="B19" s="133">
        <v>15</v>
      </c>
      <c r="C19" s="134" t="s">
        <v>440</v>
      </c>
      <c r="D19" s="135">
        <v>844</v>
      </c>
      <c r="E19" s="136">
        <v>12</v>
      </c>
      <c r="F19" s="137">
        <f t="shared" si="0"/>
        <v>10128</v>
      </c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5.75" customHeight="1">
      <c r="A20" s="112"/>
      <c r="B20" s="133">
        <v>16</v>
      </c>
      <c r="C20" s="134" t="s">
        <v>441</v>
      </c>
      <c r="D20" s="135">
        <v>666</v>
      </c>
      <c r="E20" s="136">
        <v>2.35</v>
      </c>
      <c r="F20" s="137">
        <f t="shared" si="0"/>
        <v>1565.1000000000001</v>
      </c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>
      <c r="A21" s="112"/>
      <c r="B21" s="133">
        <v>17</v>
      </c>
      <c r="C21" s="134" t="s">
        <v>442</v>
      </c>
      <c r="D21" s="135">
        <v>277</v>
      </c>
      <c r="E21" s="136">
        <v>9.67</v>
      </c>
      <c r="F21" s="137">
        <f t="shared" si="0"/>
        <v>2678.59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>
      <c r="A22" s="112"/>
      <c r="B22" s="133">
        <v>18</v>
      </c>
      <c r="C22" s="134" t="s">
        <v>443</v>
      </c>
      <c r="D22" s="135">
        <v>462</v>
      </c>
      <c r="E22" s="136">
        <v>13.32</v>
      </c>
      <c r="F22" s="137">
        <f t="shared" si="0"/>
        <v>6153.84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5.75" customHeight="1">
      <c r="A23" s="112"/>
      <c r="B23" s="133">
        <v>19</v>
      </c>
      <c r="C23" s="145" t="s">
        <v>444</v>
      </c>
      <c r="D23" s="135">
        <v>120</v>
      </c>
      <c r="E23" s="136">
        <v>13.6</v>
      </c>
      <c r="F23" s="137">
        <f t="shared" si="0"/>
        <v>1632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.75" customHeight="1">
      <c r="A24" s="112"/>
      <c r="B24" s="133">
        <v>20</v>
      </c>
      <c r="C24" s="145" t="s">
        <v>445</v>
      </c>
      <c r="D24" s="135">
        <v>500</v>
      </c>
      <c r="E24" s="136">
        <f>(25.1+14.7)/2</f>
        <v>19.899999999999999</v>
      </c>
      <c r="F24" s="137">
        <f t="shared" si="0"/>
        <v>9950</v>
      </c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.75" customHeight="1">
      <c r="A25" s="112"/>
      <c r="B25" s="133">
        <v>21</v>
      </c>
      <c r="C25" s="145" t="s">
        <v>446</v>
      </c>
      <c r="D25" s="135">
        <v>50</v>
      </c>
      <c r="E25" s="136">
        <f>(42.35+39.9+34.08)/3</f>
        <v>38.776666666666664</v>
      </c>
      <c r="F25" s="137">
        <f t="shared" si="0"/>
        <v>1938.8333333333333</v>
      </c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.75" customHeight="1">
      <c r="A26" s="112"/>
      <c r="B26" s="133">
        <v>22</v>
      </c>
      <c r="C26" s="145" t="s">
        <v>447</v>
      </c>
      <c r="D26" s="135">
        <v>250</v>
      </c>
      <c r="E26" s="136">
        <f>(34.99+34.5)/2</f>
        <v>34.745000000000005</v>
      </c>
      <c r="F26" s="137">
        <f t="shared" si="0"/>
        <v>8686.2500000000018</v>
      </c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5.75" customHeight="1">
      <c r="A27" s="112"/>
      <c r="B27" s="133">
        <v>23</v>
      </c>
      <c r="C27" s="145" t="s">
        <v>448</v>
      </c>
      <c r="D27" s="135">
        <v>250</v>
      </c>
      <c r="E27" s="136">
        <f>(20.99+15.15+20.32)/3</f>
        <v>18.82</v>
      </c>
      <c r="F27" s="137">
        <f t="shared" si="0"/>
        <v>4705</v>
      </c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>
      <c r="A28" s="112"/>
      <c r="B28" s="133">
        <v>24</v>
      </c>
      <c r="C28" s="134" t="s">
        <v>449</v>
      </c>
      <c r="D28" s="135">
        <v>50</v>
      </c>
      <c r="E28" s="136">
        <f>(6.18+6+8.18)/3</f>
        <v>6.7866666666666662</v>
      </c>
      <c r="F28" s="137">
        <f t="shared" si="0"/>
        <v>339.33333333333331</v>
      </c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5.75" customHeight="1">
      <c r="A29" s="112"/>
      <c r="B29" s="133">
        <v>25</v>
      </c>
      <c r="C29" s="145" t="s">
        <v>450</v>
      </c>
      <c r="D29" s="135">
        <v>300</v>
      </c>
      <c r="E29" s="136">
        <f>(20.49+28.11+20.68)/3</f>
        <v>23.093333333333334</v>
      </c>
      <c r="F29" s="137">
        <f t="shared" si="0"/>
        <v>6928</v>
      </c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.75" customHeight="1">
      <c r="A30" s="112"/>
      <c r="B30" s="133">
        <v>26</v>
      </c>
      <c r="C30" s="145" t="s">
        <v>451</v>
      </c>
      <c r="D30" s="135">
        <v>150</v>
      </c>
      <c r="E30" s="136">
        <f>(11.39+7.49+9.71)/3</f>
        <v>9.5300000000000011</v>
      </c>
      <c r="F30" s="137">
        <f t="shared" si="0"/>
        <v>1429.5000000000002</v>
      </c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.75" customHeight="1">
      <c r="A31" s="112"/>
      <c r="B31" s="133">
        <v>27</v>
      </c>
      <c r="C31" s="145" t="s">
        <v>452</v>
      </c>
      <c r="D31" s="135">
        <v>100</v>
      </c>
      <c r="E31" s="136">
        <f>(47.34+35.9+40.28)/3</f>
        <v>41.173333333333339</v>
      </c>
      <c r="F31" s="137">
        <f t="shared" si="0"/>
        <v>4117.3333333333339</v>
      </c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.75" customHeight="1">
      <c r="A32" s="112"/>
      <c r="B32" s="133">
        <v>28</v>
      </c>
      <c r="C32" s="145" t="s">
        <v>453</v>
      </c>
      <c r="D32" s="135">
        <v>400</v>
      </c>
      <c r="E32" s="136">
        <f>(15.43+19.9+18)/3</f>
        <v>17.776666666666667</v>
      </c>
      <c r="F32" s="137">
        <f t="shared" si="0"/>
        <v>7110.666666666667</v>
      </c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.75" customHeight="1">
      <c r="A33" s="112"/>
      <c r="B33" s="133">
        <v>29</v>
      </c>
      <c r="C33" s="145" t="s">
        <v>454</v>
      </c>
      <c r="D33" s="135">
        <v>10</v>
      </c>
      <c r="E33" s="136">
        <f>(89.9+89.9+95.9)/3</f>
        <v>91.90000000000002</v>
      </c>
      <c r="F33" s="137">
        <f t="shared" si="0"/>
        <v>919.00000000000023</v>
      </c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.75" customHeight="1">
      <c r="A34" s="112"/>
      <c r="B34" s="133">
        <v>30</v>
      </c>
      <c r="C34" s="145" t="s">
        <v>455</v>
      </c>
      <c r="D34" s="135">
        <v>1000</v>
      </c>
      <c r="E34" s="136">
        <v>2.17</v>
      </c>
      <c r="F34" s="137">
        <f t="shared" si="0"/>
        <v>2170</v>
      </c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.75" customHeight="1">
      <c r="A35" s="112"/>
      <c r="B35" s="133">
        <v>31</v>
      </c>
      <c r="C35" s="145" t="s">
        <v>456</v>
      </c>
      <c r="D35" s="135">
        <v>2500</v>
      </c>
      <c r="E35" s="136">
        <v>1.19</v>
      </c>
      <c r="F35" s="137">
        <f t="shared" si="0"/>
        <v>2975</v>
      </c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>
      <c r="A36" s="112"/>
      <c r="B36" s="133">
        <v>32</v>
      </c>
      <c r="C36" s="145" t="s">
        <v>457</v>
      </c>
      <c r="D36" s="135">
        <v>300</v>
      </c>
      <c r="E36" s="136">
        <v>4.68</v>
      </c>
      <c r="F36" s="137">
        <f t="shared" si="0"/>
        <v>1404</v>
      </c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.75" customHeight="1">
      <c r="A37" s="112"/>
      <c r="B37" s="133">
        <v>33</v>
      </c>
      <c r="C37" s="145" t="s">
        <v>458</v>
      </c>
      <c r="D37" s="135">
        <v>6</v>
      </c>
      <c r="E37" s="136">
        <f>(239.9+195+269.9)/3</f>
        <v>234.93333333333331</v>
      </c>
      <c r="F37" s="137">
        <f t="shared" si="0"/>
        <v>1409.6</v>
      </c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.75" customHeight="1">
      <c r="A38" s="112"/>
      <c r="B38" s="133">
        <v>34</v>
      </c>
      <c r="C38" s="145" t="s">
        <v>459</v>
      </c>
      <c r="D38" s="135">
        <v>10</v>
      </c>
      <c r="E38" s="136">
        <f>(162.36+175+195)/3</f>
        <v>177.45333333333335</v>
      </c>
      <c r="F38" s="137">
        <f t="shared" si="0"/>
        <v>1774.5333333333335</v>
      </c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.75" customHeight="1">
      <c r="A39" s="112"/>
      <c r="B39" s="133">
        <v>35</v>
      </c>
      <c r="C39" s="145" t="s">
        <v>460</v>
      </c>
      <c r="D39" s="135">
        <v>10</v>
      </c>
      <c r="E39" s="136">
        <f>(98+62.02+64.5)/3</f>
        <v>74.84</v>
      </c>
      <c r="F39" s="137">
        <f t="shared" si="0"/>
        <v>748.40000000000009</v>
      </c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.75" customHeight="1">
      <c r="A40" s="112"/>
      <c r="B40" s="270" t="s">
        <v>344</v>
      </c>
      <c r="C40" s="268"/>
      <c r="D40" s="268"/>
      <c r="E40" s="210"/>
      <c r="F40" s="138">
        <f>SUM(F5:F22)</f>
        <v>350322.31159999996</v>
      </c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.75" customHeight="1">
      <c r="A41" s="112"/>
      <c r="B41" s="269" t="s">
        <v>345</v>
      </c>
      <c r="C41" s="268"/>
      <c r="D41" s="268"/>
      <c r="E41" s="210"/>
      <c r="F41" s="139">
        <f>F40/12</f>
        <v>29193.525966666664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.75" customHeight="1">
      <c r="A42" s="112"/>
      <c r="B42" s="269" t="s">
        <v>415</v>
      </c>
      <c r="C42" s="268"/>
      <c r="D42" s="268"/>
      <c r="E42" s="210"/>
      <c r="F42" s="150">
        <f>F41/85</f>
        <v>343.45324666666664</v>
      </c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5.75" customHeight="1">
      <c r="A44" s="112"/>
      <c r="B44" s="267" t="s">
        <v>425</v>
      </c>
      <c r="C44" s="268"/>
      <c r="D44" s="268"/>
      <c r="E44" s="268"/>
      <c r="F44" s="210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.75" customHeight="1">
      <c r="A45" s="112"/>
      <c r="B45" s="269" t="s">
        <v>272</v>
      </c>
      <c r="C45" s="268"/>
      <c r="D45" s="268"/>
      <c r="E45" s="268"/>
      <c r="F45" s="210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.75" customHeight="1">
      <c r="A46" s="112"/>
      <c r="B46" s="131" t="s">
        <v>1</v>
      </c>
      <c r="C46" s="132" t="s">
        <v>338</v>
      </c>
      <c r="D46" s="132" t="s">
        <v>5</v>
      </c>
      <c r="E46" s="132" t="s">
        <v>4</v>
      </c>
      <c r="F46" s="132" t="s">
        <v>339</v>
      </c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.75" customHeight="1">
      <c r="A47" s="112"/>
      <c r="B47" s="133">
        <v>1</v>
      </c>
      <c r="C47" s="134" t="s">
        <v>461</v>
      </c>
      <c r="D47" s="155">
        <v>27</v>
      </c>
      <c r="E47" s="136">
        <v>28.75</v>
      </c>
      <c r="F47" s="137">
        <f t="shared" ref="F47:F49" si="1">E47*D47</f>
        <v>776.25</v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.75" customHeight="1">
      <c r="A48" s="112"/>
      <c r="B48" s="133">
        <v>2</v>
      </c>
      <c r="C48" s="134" t="s">
        <v>462</v>
      </c>
      <c r="D48" s="156">
        <v>201</v>
      </c>
      <c r="E48" s="136">
        <v>10.039999999999999</v>
      </c>
      <c r="F48" s="137">
        <f t="shared" si="1"/>
        <v>2018.0399999999997</v>
      </c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.75" customHeight="1">
      <c r="A49" s="112"/>
      <c r="B49" s="133">
        <v>3</v>
      </c>
      <c r="C49" s="134" t="s">
        <v>463</v>
      </c>
      <c r="D49" s="156">
        <v>39</v>
      </c>
      <c r="E49" s="136">
        <v>11.88</v>
      </c>
      <c r="F49" s="137">
        <f t="shared" si="1"/>
        <v>463.32000000000005</v>
      </c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>
      <c r="A50" s="112"/>
      <c r="B50" s="270" t="s">
        <v>344</v>
      </c>
      <c r="C50" s="268"/>
      <c r="D50" s="268"/>
      <c r="E50" s="210"/>
      <c r="F50" s="138">
        <f>SUM(F47:F49)</f>
        <v>3257.61</v>
      </c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>
      <c r="A51" s="112"/>
      <c r="B51" s="269" t="s">
        <v>345</v>
      </c>
      <c r="C51" s="268"/>
      <c r="D51" s="268"/>
      <c r="E51" s="210"/>
      <c r="F51" s="139">
        <f>F50/12</f>
        <v>271.46750000000003</v>
      </c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.75" customHeight="1">
      <c r="A52" s="112"/>
      <c r="B52" s="269" t="s">
        <v>415</v>
      </c>
      <c r="C52" s="268"/>
      <c r="D52" s="268"/>
      <c r="E52" s="210"/>
      <c r="F52" s="150">
        <f>F51/1</f>
        <v>271.46750000000003</v>
      </c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.75" customHeight="1">
      <c r="A54" s="112"/>
      <c r="B54" s="267" t="s">
        <v>425</v>
      </c>
      <c r="C54" s="268"/>
      <c r="D54" s="268"/>
      <c r="E54" s="268"/>
      <c r="F54" s="210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.75" customHeight="1">
      <c r="A55" s="112"/>
      <c r="B55" s="269" t="s">
        <v>359</v>
      </c>
      <c r="C55" s="268"/>
      <c r="D55" s="268"/>
      <c r="E55" s="268"/>
      <c r="F55" s="210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.75" customHeight="1">
      <c r="A56" s="112"/>
      <c r="B56" s="131" t="s">
        <v>1</v>
      </c>
      <c r="C56" s="132" t="s">
        <v>338</v>
      </c>
      <c r="D56" s="132" t="s">
        <v>5</v>
      </c>
      <c r="E56" s="132" t="s">
        <v>4</v>
      </c>
      <c r="F56" s="132" t="s">
        <v>339</v>
      </c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>
      <c r="A57" s="112"/>
      <c r="B57" s="144">
        <v>1</v>
      </c>
      <c r="C57" s="145" t="s">
        <v>464</v>
      </c>
      <c r="D57" s="146">
        <f>950*12</f>
        <v>11400</v>
      </c>
      <c r="E57" s="147">
        <f>((79.73+59.85+68.78)/3)/50</f>
        <v>1.3890666666666667</v>
      </c>
      <c r="F57" s="157">
        <f t="shared" ref="F57:F65" si="2">E57*D57</f>
        <v>15835.36</v>
      </c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5.75" customHeight="1">
      <c r="A58" s="112"/>
      <c r="B58" s="144">
        <v>2</v>
      </c>
      <c r="C58" s="145" t="s">
        <v>465</v>
      </c>
      <c r="D58" s="146">
        <f>300*12</f>
        <v>3600</v>
      </c>
      <c r="E58" s="147">
        <v>5.47</v>
      </c>
      <c r="F58" s="157">
        <f t="shared" si="2"/>
        <v>19692</v>
      </c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.75" customHeight="1">
      <c r="A59" s="112"/>
      <c r="B59" s="144">
        <v>3</v>
      </c>
      <c r="C59" s="145" t="s">
        <v>466</v>
      </c>
      <c r="D59" s="146">
        <f>8*12</f>
        <v>96</v>
      </c>
      <c r="E59" s="147">
        <f>(40.36+39.99+30.57)/3</f>
        <v>36.973333333333329</v>
      </c>
      <c r="F59" s="157">
        <f t="shared" si="2"/>
        <v>3549.4399999999996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.75" customHeight="1">
      <c r="A60" s="112"/>
      <c r="B60" s="144">
        <v>4</v>
      </c>
      <c r="C60" s="145" t="s">
        <v>467</v>
      </c>
      <c r="D60" s="146">
        <v>12</v>
      </c>
      <c r="E60" s="147">
        <f>(65.4+64.9+55.44)/3</f>
        <v>61.913333333333334</v>
      </c>
      <c r="F60" s="157">
        <f t="shared" si="2"/>
        <v>742.96</v>
      </c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.75" customHeight="1">
      <c r="A61" s="112"/>
      <c r="B61" s="144">
        <v>5</v>
      </c>
      <c r="C61" s="145" t="s">
        <v>468</v>
      </c>
      <c r="D61" s="146">
        <v>40</v>
      </c>
      <c r="E61" s="147">
        <f>(32.66+35.9+36.48)/3</f>
        <v>35.013333333333328</v>
      </c>
      <c r="F61" s="157">
        <f t="shared" si="2"/>
        <v>1400.5333333333331</v>
      </c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.75" customHeight="1">
      <c r="A62" s="112"/>
      <c r="B62" s="144">
        <v>6</v>
      </c>
      <c r="C62" s="145" t="s">
        <v>469</v>
      </c>
      <c r="D62" s="146">
        <v>200</v>
      </c>
      <c r="E62" s="147">
        <f>(4.95+5+3.1)/3</f>
        <v>4.3499999999999996</v>
      </c>
      <c r="F62" s="157">
        <f t="shared" si="2"/>
        <v>869.99999999999989</v>
      </c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.75" customHeight="1">
      <c r="A63" s="112"/>
      <c r="B63" s="144">
        <v>7</v>
      </c>
      <c r="C63" s="145" t="s">
        <v>470</v>
      </c>
      <c r="D63" s="146">
        <f>12*2</f>
        <v>24</v>
      </c>
      <c r="E63" s="147">
        <f>(5+6.86+6.36)/3</f>
        <v>6.0733333333333333</v>
      </c>
      <c r="F63" s="157">
        <f t="shared" si="2"/>
        <v>145.76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>
      <c r="A64" s="112"/>
      <c r="B64" s="144">
        <v>8</v>
      </c>
      <c r="C64" s="145" t="s">
        <v>471</v>
      </c>
      <c r="D64" s="146">
        <v>12</v>
      </c>
      <c r="E64" s="147">
        <f>(74.52+56+60)/3</f>
        <v>63.506666666666661</v>
      </c>
      <c r="F64" s="157">
        <f t="shared" si="2"/>
        <v>762.07999999999993</v>
      </c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>
      <c r="A65" s="112"/>
      <c r="B65" s="144">
        <v>9</v>
      </c>
      <c r="C65" s="145" t="s">
        <v>472</v>
      </c>
      <c r="D65" s="146">
        <v>6</v>
      </c>
      <c r="E65" s="147">
        <f>100*4.59</f>
        <v>459</v>
      </c>
      <c r="F65" s="157">
        <f t="shared" si="2"/>
        <v>2754</v>
      </c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.75" customHeight="1">
      <c r="A66" s="112"/>
      <c r="B66" s="270" t="s">
        <v>344</v>
      </c>
      <c r="C66" s="268"/>
      <c r="D66" s="268"/>
      <c r="E66" s="210"/>
      <c r="F66" s="138">
        <f>SUM(F57:F65)</f>
        <v>45752.133333333339</v>
      </c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.75" customHeight="1">
      <c r="A67" s="112"/>
      <c r="B67" s="269" t="s">
        <v>345</v>
      </c>
      <c r="C67" s="268"/>
      <c r="D67" s="268"/>
      <c r="E67" s="210"/>
      <c r="F67" s="139">
        <f>F66/12</f>
        <v>3812.6777777777784</v>
      </c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.75" customHeight="1">
      <c r="A68" s="112"/>
      <c r="B68" s="269" t="s">
        <v>415</v>
      </c>
      <c r="C68" s="268"/>
      <c r="D68" s="268"/>
      <c r="E68" s="210"/>
      <c r="F68" s="150">
        <f>F67/16</f>
        <v>238.29236111111115</v>
      </c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5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</sheetData>
  <mergeCells count="15">
    <mergeCell ref="B66:E66"/>
    <mergeCell ref="B67:E67"/>
    <mergeCell ref="B68:E68"/>
    <mergeCell ref="B2:F2"/>
    <mergeCell ref="B3:F3"/>
    <mergeCell ref="B40:E40"/>
    <mergeCell ref="B41:E41"/>
    <mergeCell ref="B42:E42"/>
    <mergeCell ref="B44:F44"/>
    <mergeCell ref="B45:F45"/>
    <mergeCell ref="B50:E50"/>
    <mergeCell ref="B51:E51"/>
    <mergeCell ref="B52:E52"/>
    <mergeCell ref="B54:F54"/>
    <mergeCell ref="B55:F55"/>
  </mergeCell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45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42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188" t="s">
        <v>51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1260.43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56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1260.43</v>
      </c>
      <c r="J31" s="177"/>
      <c r="K31" s="34">
        <f>((I31/(I25/220)))</f>
        <v>220.00000000000003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1260.43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105.03583333333333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152.51203000000001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94.777613706666685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352.32547704000001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252.08600000000001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31.510750000000002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37.812899999999999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18.90645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12.6043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7.5625800000000005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2.5208600000000003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100.8344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463.83824000000016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95.974199999999996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75.625799999999998</v>
      </c>
      <c r="I63" s="218">
        <f>IF(I62&gt;=0,I62,0)</f>
        <v>95.974199999999996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154.44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130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379.16419999999994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352.32547704000001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463.83824000000016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379.16419999999994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1195.3279170400001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3.2785044729999999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0.26228035783999998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25.208600000000001</v>
      </c>
      <c r="K83" s="48"/>
      <c r="L83" s="84"/>
      <c r="M83" s="9" t="s">
        <v>157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13.018517911855556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4.7908145915628451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25.208600000000001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71.767317334258394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20.423634259259259</v>
      </c>
      <c r="K92" s="48"/>
      <c r="L92" s="9"/>
      <c r="M92" s="86" t="s">
        <v>170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28.009555555555558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0.44837360418666661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0.23107883333333334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1.7989613621337603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20.867118888888889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71.778722503357471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71.778722503357471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71.778722503357471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DIVERSOS'!D3</f>
        <v>137.09902777777779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f>'RESUMO - INSUMOS DIVERSOS'!E3</f>
        <v>343.45324666666664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DIVERSOS'!F3</f>
        <v>16.681034453781511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497.23330889822597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92.896117973275267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216.56252675656506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24.23532941246517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111.85536651907002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186.42561086511671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631.97495152649219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1260.43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1195.3279170400001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71.767317334258394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71.778722503357471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497.23330889822597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3096.5372657758421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631.97495152649219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3728.5122173023342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3728.5122173023342</v>
      </c>
      <c r="E146" s="39">
        <v>1</v>
      </c>
      <c r="F146" s="241">
        <f>D146*E146</f>
        <v>3728.5122173023342</v>
      </c>
      <c r="G146" s="160"/>
      <c r="H146" s="60">
        <f>I16</f>
        <v>45</v>
      </c>
      <c r="I146" s="242">
        <f>F146*H146</f>
        <v>167783.04977860503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167783.04977860503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167783.04977860503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167783.04977860503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2013396.5973432604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12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251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188" t="s">
        <v>252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1260.43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253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1260.43</v>
      </c>
      <c r="J31" s="177"/>
      <c r="K31" s="34">
        <f>((I31/(I25/220)))</f>
        <v>220.00000000000003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1260.43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105.03583333333333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152.51203000000001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94.777613706666685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352.32547704000001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252.08600000000001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31.510750000000002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37.812899999999999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18.90645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12.6043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7.5625800000000005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2.5208600000000003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100.8344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463.83824000000016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95.974199999999996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75.625799999999998</v>
      </c>
      <c r="I63" s="218">
        <f>IF(I62&gt;=0,I62,0)</f>
        <v>95.974199999999996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154.44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130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379.16419999999994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352.32547704000001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463.83824000000016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379.16419999999994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1195.3279170400001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3.2785044729999999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0.26228035783999998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25.208600000000001</v>
      </c>
      <c r="K83" s="48"/>
      <c r="L83" s="84"/>
      <c r="M83" s="9" t="s">
        <v>254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13.018517911855556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4.7908145915628451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25.208600000000001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71.767317334258394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20.423634259259259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28.009555555555558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0.44837360418666661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0.23107883333333334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1.7989613621337603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20.867118888888889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71.778722503357471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71.778722503357471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71.778722503357471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DIVERSOS'!D4</f>
        <v>218.67333333333335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f>'RESUMO - INSUMOS DIVERSOS'!E4</f>
        <v>238.29236111111115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DIVERSOS'!F4</f>
        <v>180.36491121031744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637.33060565476194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97.09903687597135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226.36051139982695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25.331813596336232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116.91606275232107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194.86010458720182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660.56752921165742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1260.43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1195.3279170400001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71.767317334258394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71.778722503357471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637.33060565476194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3236.6345625323784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660.56752921165742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3897.2020917440359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3897.2020917440359</v>
      </c>
      <c r="E146" s="39">
        <v>1</v>
      </c>
      <c r="F146" s="241">
        <f>D146*E146</f>
        <v>3897.2020917440359</v>
      </c>
      <c r="G146" s="160"/>
      <c r="H146" s="60">
        <f>I16</f>
        <v>12</v>
      </c>
      <c r="I146" s="242">
        <f>F146*H146</f>
        <v>46766.425100928434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46766.425100928434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46766.425100928434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46766.425100928434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561197.10121114121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40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256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188" t="s">
        <v>51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1282.27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257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1282.27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130</v>
      </c>
      <c r="G33" s="42">
        <v>1260.43</v>
      </c>
      <c r="H33" s="40">
        <v>0.4</v>
      </c>
      <c r="I33" s="198">
        <f>IF(F33="N",0,G33*H33)</f>
        <v>504.17200000000003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1786.442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148.87016666666665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216.159482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134.33091070933335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499.36055937599997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357.28840000000002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44.661050000000003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53.593260000000001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26.79663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17.864419999999999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10.718652000000001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3.5728840000000002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142.91535999999999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657.41065600000002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94.663799999999995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76.936199999999999</v>
      </c>
      <c r="I63" s="218">
        <f>IF(I62&gt;=0,I62,0)</f>
        <v>94.663799999999995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223.41379999999998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499.36055937599997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657.41065600000002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223.41379999999998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1380.1850153759999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4.6467142861999999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0.37173714289599996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35.728839999999998</v>
      </c>
      <c r="K83" s="48"/>
      <c r="L83" s="84"/>
      <c r="M83" s="9" t="s">
        <v>258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18.451502404331112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6.7901528847938497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35.728839999999998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101.71778671822096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28.946976851851851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39.698711111111116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0.63549220362133318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0.32751436666666667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2.5497172660861445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29.575539777777777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101.73395157711489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101.73395157711489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101.73395157711489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DIVERSOS'!D5</f>
        <v>169.92347222222224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f>'RESUMO - INSUMOS DIVERSOS'!E5</f>
        <v>343.45324666666664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DIVERSOS'!F5</f>
        <v>16.681034453781511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530.05775334267048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117.00409521042018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272.76384689103855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30.524771668582943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140.88356154730587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234.80593591217649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795.98221122952395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1786.442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1380.1850153759999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101.71778671822096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101.73395157711489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530.05775334267048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3900.1365070140059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795.98221122952395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4696.1187182435297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4696.1187182435297</v>
      </c>
      <c r="E146" s="39">
        <v>1</v>
      </c>
      <c r="F146" s="241">
        <f>D146*E146</f>
        <v>4696.1187182435297</v>
      </c>
      <c r="G146" s="160"/>
      <c r="H146" s="60">
        <f>I16</f>
        <v>40</v>
      </c>
      <c r="I146" s="242">
        <f>F146*H146</f>
        <v>187844.7487297412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187844.7487297412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187844.7487297412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187844.7487297412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2254136.9847568944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5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259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257">
        <v>1184238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1282.27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260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1282.27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130</v>
      </c>
      <c r="G33" s="42">
        <v>1260.43</v>
      </c>
      <c r="H33" s="40">
        <v>0.4</v>
      </c>
      <c r="I33" s="198">
        <f>IF(F33="N",0,G33*H33)</f>
        <v>504.17200000000003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1786.442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148.87016666666665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216.159482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134.33091070933335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499.36055937599997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357.28840000000002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44.661050000000003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53.593260000000001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26.79663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17.864419999999999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10.718652000000001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3.5728840000000002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142.91535999999999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657.41065600000002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94.663799999999995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76.936199999999999</v>
      </c>
      <c r="I63" s="218">
        <f>IF(I62&gt;=0,I62,0)</f>
        <v>94.663799999999995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223.41379999999998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499.36055937599997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657.41065600000002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223.41379999999998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1380.1850153759999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4.6467142861999999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0.37173714289599996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35.728839999999998</v>
      </c>
      <c r="K83" s="48"/>
      <c r="L83" s="84"/>
      <c r="M83" s="9" t="s">
        <v>261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18.451502404331112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6.7901528847938497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35.728839999999998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101.71778671822096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28.946976851851851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39.698711111111116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0.63549220362133318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0.32751436666666667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2.5497172660861445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29.575539777777777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101.73395157711489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101.73395157711489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101.73395157711489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DIVERSOS'!D6</f>
        <v>192.31347222222223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v>0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DIVERSOS'!F6</f>
        <v>2.5352063492063492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194.84867857142859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106.94782296728292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249.3203298287622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27.901227479750691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128.77489606038782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214.62482676731304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727.56910310349667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1786.442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1380.1850153759999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101.71778671822096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101.73395157711489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194.84867857142859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3564.9274322427641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727.56910310349667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4292.4965353462612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4292.4965353462612</v>
      </c>
      <c r="E146" s="39">
        <v>1</v>
      </c>
      <c r="F146" s="241">
        <f>D146*E146</f>
        <v>4292.4965353462612</v>
      </c>
      <c r="G146" s="160"/>
      <c r="H146" s="60">
        <f>I16</f>
        <v>5</v>
      </c>
      <c r="I146" s="242">
        <f>F146*H146</f>
        <v>21462.482676731306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21462.482676731306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21462.482676731306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21462.482676731306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257549.79212077567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8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262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188" t="s">
        <v>263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1443.19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264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1443.19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1443.19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120.26583333333333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174.62599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108.52019098666668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403.41201432000003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288.63800000000003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36.079750000000004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43.295699999999997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21.647849999999998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14.431900000000001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8.6591400000000007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2.8863800000000004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115.4552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531.09392000000003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85.008600000000001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86.591399999999993</v>
      </c>
      <c r="I63" s="218">
        <f>IF(I62&gt;=0,I62,0)</f>
        <v>85.008600000000001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213.7586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403.41201432000003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531.09392000000003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213.7586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1148.2645343200002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3.7538815089999997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0.30031052071999997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28.863800000000001</v>
      </c>
      <c r="K83" s="48"/>
      <c r="L83" s="84"/>
      <c r="M83" s="9" t="s">
        <v>265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14.90617873678889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5.4854737751383125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28.863800000000001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82.1734445416472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23.385023148148147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32.070888888888888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0.51338694082666658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0.26458483333333332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2.0598074055820805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23.892812222222222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82.186503439001328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82.186503439001328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82.186503439001328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DIVERSOS'!D7</f>
        <v>72.997222222222234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v>0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DIVERSOS'!F7</f>
        <v>2.5352063492063492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75.532428571428582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84.940407326162315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198.01590890566047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22.159793077367652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102.27596804938916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170.45994674898196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577.85202410756153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1443.19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1148.2645343200002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82.1734445416472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82.186503439001328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75.532428571428582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2831.3469108720774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577.85202410756153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3409.198934979639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3409.198934979639</v>
      </c>
      <c r="E146" s="39">
        <v>1</v>
      </c>
      <c r="F146" s="241">
        <f>D146*E146</f>
        <v>3409.198934979639</v>
      </c>
      <c r="G146" s="160"/>
      <c r="H146" s="60">
        <f>I16</f>
        <v>8</v>
      </c>
      <c r="I146" s="242">
        <f>F146*H146</f>
        <v>27273.591479837112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27273.591479837112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27273.591479837112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27273.591479837112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327283.09775804536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6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266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258">
        <v>1578123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1443.19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267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1443.19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1443.19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120.26583333333333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174.62599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108.52019098666668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403.41201432000003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288.63800000000003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36.079750000000004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43.295699999999997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21.647849999999998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14.431900000000001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8.6591400000000007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2.8863800000000004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115.4552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531.09392000000003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85.008600000000001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86.591399999999993</v>
      </c>
      <c r="I63" s="218">
        <f>IF(I62&gt;=0,I62,0)</f>
        <v>85.008600000000001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213.7586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403.41201432000003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531.09392000000003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213.7586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1148.2645343200002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3.7538815089999997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0.30031052071999997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28.863800000000001</v>
      </c>
      <c r="K83" s="48"/>
      <c r="L83" s="84"/>
      <c r="M83" s="9" t="s">
        <v>268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14.90617873678889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5.4854737751383125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28.863800000000001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82.1734445416472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23.385023148148147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32.070888888888888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0.51338694082666658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0.26458483333333332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2.0598074055820805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23.892812222222222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82.186503439001328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82.186503439001328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82.186503439001328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DIVERSOS'!D8</f>
        <v>218.67333333333335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f>'RESUMO - INSUMOS DIVERSOS'!E8</f>
        <v>238.29236111111115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DIVERSOS'!F8</f>
        <v>177.82970486111108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634.79539930555552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101.71829644818611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237.12908328989312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26.536915379023363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122.47807098010783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204.13011830017973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691.99248439739017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1443.19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1148.2645343200002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82.1734445416472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82.186503439001328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634.79539930555552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3390.609881606204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691.99248439739017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4082.6023660035944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4082.6023660035944</v>
      </c>
      <c r="E146" s="39">
        <v>1</v>
      </c>
      <c r="F146" s="241">
        <f>D146*E146</f>
        <v>4082.6023660035944</v>
      </c>
      <c r="G146" s="160"/>
      <c r="H146" s="60">
        <f>I16</f>
        <v>6</v>
      </c>
      <c r="I146" s="242">
        <f>F146*H146</f>
        <v>24495.614196021568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24495.614196021568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24495.614196021568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24495.614196021568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293947.37035225879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4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269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258">
        <v>1578123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1443.19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270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1443.19</v>
      </c>
      <c r="J31" s="177"/>
      <c r="K31" s="34">
        <f>((I31/(I25/220)))</f>
        <v>220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130</v>
      </c>
      <c r="G32" s="38"/>
      <c r="H32" s="40">
        <v>0.3</v>
      </c>
      <c r="I32" s="197">
        <f>IF(F32="N",0,I31*H32)</f>
        <v>432.95699999999999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1876.1469999999999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156.34558333333331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227.01378699999998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141.07624828266668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524.43561861599994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375.2294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46.903675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56.284409999999994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28.142204999999997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18.761469999999999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11.256881999999999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3.752294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150.09175999999999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690.42209600000001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85.008600000000001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86.591399999999993</v>
      </c>
      <c r="I63" s="218">
        <f>IF(I62&gt;=0,I62,0)</f>
        <v>85.008600000000001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0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68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213.7586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524.43561861599994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690.42209600000001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213.7586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1428.6163146160002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4.8800459616999996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0.39040367693599998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37.522939999999998</v>
      </c>
      <c r="K83" s="48"/>
      <c r="L83" s="84"/>
      <c r="M83" s="9" t="s">
        <v>271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19.378032357825553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7.1311159076798054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37.522939999999998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106.82547790414137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30.400530092592589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41.692155555555559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0.66740302307466648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0.34396028333333334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2.6777496272567043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31.060655888888888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106.84245447070174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106.84245447070174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106.84245447070174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DIVERSOS'!D9</f>
        <v>218.67333333333335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f>'RESUMO - INSUMOS DIVERSOS'!E9</f>
        <v>238.29236111111115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DIVERSOS'!F9</f>
        <v>177.82970486111108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634.79539930555552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124.59679938889197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290.46421196203124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32.505604570013787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150.02586724621747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250.04311207702915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847.63559524418361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1876.1469999999999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1428.6163146160002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106.82547790414137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106.84245447070174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634.79539930555552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4153.2266462963989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847.63559524418361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5000.8622415405825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5000.8622415405825</v>
      </c>
      <c r="E146" s="39">
        <v>1</v>
      </c>
      <c r="F146" s="241">
        <f>D146*E146</f>
        <v>5000.8622415405825</v>
      </c>
      <c r="G146" s="160"/>
      <c r="H146" s="60">
        <f>I16</f>
        <v>4</v>
      </c>
      <c r="I146" s="242">
        <f>F146*H146</f>
        <v>20003.44896616233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20003.44896616233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20003.44896616233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20003.44896616233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240041.38759394796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workbookViewId="0"/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3" ht="21" customHeight="1">
      <c r="A1" s="1"/>
      <c r="B1" s="165" t="s">
        <v>11</v>
      </c>
      <c r="C1" s="166"/>
      <c r="D1" s="166"/>
      <c r="E1" s="166"/>
      <c r="F1" s="166"/>
      <c r="G1" s="166"/>
      <c r="H1" s="166"/>
      <c r="I1" s="166"/>
      <c r="J1" s="167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5" customHeight="1">
      <c r="A2" s="1"/>
      <c r="B2" s="168"/>
      <c r="C2" s="169"/>
      <c r="D2" s="169"/>
      <c r="E2" s="169"/>
      <c r="F2" s="169"/>
      <c r="G2" s="169"/>
      <c r="H2" s="169"/>
      <c r="I2" s="169"/>
      <c r="J2" s="170"/>
      <c r="K2" s="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15" customHeight="1">
      <c r="A3" s="1"/>
      <c r="B3" s="11"/>
      <c r="C3" s="1"/>
      <c r="D3" s="12" t="s">
        <v>12</v>
      </c>
      <c r="E3" s="171"/>
      <c r="F3" s="169"/>
      <c r="G3" s="169"/>
      <c r="H3" s="169"/>
      <c r="I3" s="13"/>
      <c r="J3" s="14"/>
      <c r="K3" s="15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1"/>
      <c r="B4" s="11"/>
      <c r="C4" s="1"/>
      <c r="D4" s="12" t="s">
        <v>13</v>
      </c>
      <c r="E4" s="172"/>
      <c r="F4" s="173"/>
      <c r="G4" s="16" t="s">
        <v>14</v>
      </c>
      <c r="H4" s="13"/>
      <c r="I4" s="13"/>
      <c r="J4" s="14"/>
      <c r="K4" s="15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5" customHeight="1">
      <c r="A5" s="1"/>
      <c r="B5" s="11"/>
      <c r="C5" s="1"/>
      <c r="D5" s="12" t="s">
        <v>15</v>
      </c>
      <c r="E5" s="17" t="s">
        <v>16</v>
      </c>
      <c r="F5" s="12" t="s">
        <v>17</v>
      </c>
      <c r="G5" s="17" t="s">
        <v>18</v>
      </c>
      <c r="H5" s="13"/>
      <c r="I5" s="13"/>
      <c r="J5" s="14"/>
      <c r="K5" s="15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1"/>
      <c r="B6" s="168"/>
      <c r="C6" s="169"/>
      <c r="D6" s="169"/>
      <c r="E6" s="169"/>
      <c r="F6" s="169"/>
      <c r="G6" s="169"/>
      <c r="H6" s="169"/>
      <c r="I6" s="169"/>
      <c r="J6" s="170"/>
      <c r="K6" s="15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1"/>
      <c r="B7" s="174" t="s">
        <v>19</v>
      </c>
      <c r="C7" s="169"/>
      <c r="D7" s="169"/>
      <c r="E7" s="169"/>
      <c r="F7" s="169"/>
      <c r="G7" s="169"/>
      <c r="H7" s="169"/>
      <c r="I7" s="169"/>
      <c r="J7" s="170"/>
      <c r="K7" s="15"/>
      <c r="L7" s="9"/>
      <c r="M7" s="18" t="s">
        <v>20</v>
      </c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1"/>
      <c r="B8" s="168"/>
      <c r="C8" s="169"/>
      <c r="D8" s="169"/>
      <c r="E8" s="169"/>
      <c r="F8" s="169"/>
      <c r="G8" s="169"/>
      <c r="H8" s="169"/>
      <c r="I8" s="169"/>
      <c r="J8" s="170"/>
      <c r="K8" s="1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1"/>
      <c r="B9" s="19" t="s">
        <v>21</v>
      </c>
      <c r="C9" s="175" t="s">
        <v>22</v>
      </c>
      <c r="D9" s="159"/>
      <c r="E9" s="159"/>
      <c r="F9" s="159"/>
      <c r="G9" s="160"/>
      <c r="H9" s="176"/>
      <c r="I9" s="159"/>
      <c r="J9" s="177"/>
      <c r="K9" s="20"/>
      <c r="L9" s="9"/>
      <c r="M9" s="9" t="s">
        <v>23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1"/>
      <c r="B10" s="19" t="s">
        <v>24</v>
      </c>
      <c r="C10" s="175" t="s">
        <v>25</v>
      </c>
      <c r="D10" s="159"/>
      <c r="E10" s="159"/>
      <c r="F10" s="159"/>
      <c r="G10" s="160"/>
      <c r="H10" s="178" t="s">
        <v>26</v>
      </c>
      <c r="I10" s="159"/>
      <c r="J10" s="177"/>
      <c r="K10" s="20"/>
      <c r="L10" s="9"/>
      <c r="M10" s="9" t="s">
        <v>27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1"/>
      <c r="B11" s="21" t="s">
        <v>28</v>
      </c>
      <c r="C11" s="175" t="s">
        <v>29</v>
      </c>
      <c r="D11" s="159"/>
      <c r="E11" s="159"/>
      <c r="F11" s="159"/>
      <c r="G11" s="159"/>
      <c r="H11" s="179" t="s">
        <v>30</v>
      </c>
      <c r="I11" s="159"/>
      <c r="J11" s="177"/>
      <c r="K11" s="10"/>
      <c r="L11" s="9"/>
      <c r="M11" s="9" t="s">
        <v>31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1"/>
      <c r="B12" s="19" t="s">
        <v>32</v>
      </c>
      <c r="C12" s="22" t="s">
        <v>33</v>
      </c>
      <c r="D12" s="23"/>
      <c r="E12" s="23"/>
      <c r="F12" s="23"/>
      <c r="G12" s="23"/>
      <c r="H12" s="179">
        <v>12</v>
      </c>
      <c r="I12" s="159"/>
      <c r="J12" s="177"/>
      <c r="K12" s="10"/>
      <c r="L12" s="9"/>
      <c r="M12" s="9" t="s">
        <v>34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5" customHeight="1">
      <c r="A13" s="1"/>
      <c r="B13" s="168"/>
      <c r="C13" s="169"/>
      <c r="D13" s="169"/>
      <c r="E13" s="169"/>
      <c r="F13" s="169"/>
      <c r="G13" s="169"/>
      <c r="H13" s="169"/>
      <c r="I13" s="169"/>
      <c r="J13" s="170"/>
      <c r="K13" s="10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5" customHeight="1">
      <c r="A14" s="1"/>
      <c r="B14" s="174" t="s">
        <v>35</v>
      </c>
      <c r="C14" s="169"/>
      <c r="D14" s="169"/>
      <c r="E14" s="169"/>
      <c r="F14" s="169"/>
      <c r="G14" s="169"/>
      <c r="H14" s="169"/>
      <c r="I14" s="169"/>
      <c r="J14" s="17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5" customHeight="1">
      <c r="A15" s="1"/>
      <c r="B15" s="19">
        <v>1</v>
      </c>
      <c r="C15" s="180" t="s">
        <v>36</v>
      </c>
      <c r="D15" s="159"/>
      <c r="E15" s="159"/>
      <c r="F15" s="159"/>
      <c r="G15" s="159"/>
      <c r="H15" s="160"/>
      <c r="I15" s="179" t="s">
        <v>37</v>
      </c>
      <c r="J15" s="177"/>
      <c r="K15" s="10"/>
      <c r="L15" s="9"/>
      <c r="M15" s="9" t="s">
        <v>38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5" customHeight="1">
      <c r="A16" s="9"/>
      <c r="B16" s="19">
        <v>2</v>
      </c>
      <c r="C16" s="180" t="s">
        <v>39</v>
      </c>
      <c r="D16" s="159"/>
      <c r="E16" s="159"/>
      <c r="F16" s="159"/>
      <c r="G16" s="159"/>
      <c r="H16" s="160"/>
      <c r="I16" s="179">
        <v>1</v>
      </c>
      <c r="J16" s="177"/>
      <c r="K16" s="10"/>
      <c r="L16" s="9"/>
      <c r="M16" s="9" t="s">
        <v>40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5" customHeight="1">
      <c r="A17" s="9"/>
      <c r="B17" s="19">
        <v>3</v>
      </c>
      <c r="C17" s="24" t="s">
        <v>41</v>
      </c>
      <c r="D17" s="181" t="s">
        <v>272</v>
      </c>
      <c r="E17" s="159"/>
      <c r="F17" s="159"/>
      <c r="G17" s="159"/>
      <c r="H17" s="159"/>
      <c r="I17" s="159"/>
      <c r="J17" s="177"/>
      <c r="K17" s="10"/>
      <c r="L17" s="9"/>
      <c r="M17" s="9" t="s">
        <v>43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5" customHeight="1">
      <c r="A18" s="9"/>
      <c r="B18" s="168"/>
      <c r="C18" s="169"/>
      <c r="D18" s="169"/>
      <c r="E18" s="169"/>
      <c r="F18" s="169"/>
      <c r="G18" s="169"/>
      <c r="H18" s="169"/>
      <c r="I18" s="169"/>
      <c r="J18" s="170"/>
      <c r="K18" s="10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5" customHeight="1">
      <c r="A19" s="9"/>
      <c r="B19" s="182" t="s">
        <v>44</v>
      </c>
      <c r="C19" s="169"/>
      <c r="D19" s="169"/>
      <c r="E19" s="169"/>
      <c r="F19" s="169"/>
      <c r="G19" s="169"/>
      <c r="H19" s="169"/>
      <c r="I19" s="169"/>
      <c r="J19" s="170"/>
      <c r="K19" s="25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5" customHeight="1">
      <c r="A20" s="9"/>
      <c r="B20" s="168"/>
      <c r="C20" s="169"/>
      <c r="D20" s="169"/>
      <c r="E20" s="169"/>
      <c r="F20" s="169"/>
      <c r="G20" s="169"/>
      <c r="H20" s="169"/>
      <c r="I20" s="169"/>
      <c r="J20" s="170"/>
      <c r="K20" s="10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5" customHeight="1">
      <c r="A21" s="9"/>
      <c r="B21" s="183" t="s">
        <v>45</v>
      </c>
      <c r="C21" s="184"/>
      <c r="D21" s="184"/>
      <c r="E21" s="184"/>
      <c r="F21" s="184"/>
      <c r="G21" s="184"/>
      <c r="H21" s="184"/>
      <c r="I21" s="184"/>
      <c r="J21" s="185"/>
      <c r="K21" s="26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5" customHeight="1">
      <c r="A22" s="9"/>
      <c r="B22" s="186" t="s">
        <v>46</v>
      </c>
      <c r="C22" s="159"/>
      <c r="D22" s="159"/>
      <c r="E22" s="159"/>
      <c r="F22" s="159"/>
      <c r="G22" s="159"/>
      <c r="H22" s="159"/>
      <c r="I22" s="159"/>
      <c r="J22" s="177"/>
      <c r="K22" s="26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5" customHeight="1">
      <c r="A23" s="9"/>
      <c r="B23" s="27">
        <v>1</v>
      </c>
      <c r="C23" s="187" t="s">
        <v>47</v>
      </c>
      <c r="D23" s="159"/>
      <c r="E23" s="159"/>
      <c r="F23" s="159"/>
      <c r="G23" s="159"/>
      <c r="H23" s="160"/>
      <c r="I23" s="188" t="s">
        <v>48</v>
      </c>
      <c r="J23" s="177"/>
      <c r="K23" s="26"/>
      <c r="L23" s="9"/>
      <c r="M23" s="9" t="s">
        <v>49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5" customHeight="1">
      <c r="A24" s="9"/>
      <c r="B24" s="27">
        <v>2</v>
      </c>
      <c r="C24" s="187" t="s">
        <v>50</v>
      </c>
      <c r="D24" s="159"/>
      <c r="E24" s="159"/>
      <c r="F24" s="159"/>
      <c r="G24" s="159"/>
      <c r="H24" s="160"/>
      <c r="I24" s="188" t="s">
        <v>273</v>
      </c>
      <c r="J24" s="177"/>
      <c r="K24" s="26"/>
      <c r="L24" s="9"/>
      <c r="M24" s="9" t="s">
        <v>52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5" customHeight="1">
      <c r="A25" s="9"/>
      <c r="B25" s="27">
        <v>3</v>
      </c>
      <c r="C25" s="187" t="s">
        <v>53</v>
      </c>
      <c r="D25" s="159"/>
      <c r="E25" s="159"/>
      <c r="F25" s="159"/>
      <c r="G25" s="159"/>
      <c r="H25" s="160"/>
      <c r="I25" s="189">
        <v>1260.43</v>
      </c>
      <c r="J25" s="177"/>
      <c r="K25" s="28"/>
      <c r="L25" s="9"/>
      <c r="M25" s="9" t="s">
        <v>54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5" customHeight="1">
      <c r="A26" s="9"/>
      <c r="B26" s="27">
        <v>4</v>
      </c>
      <c r="C26" s="187" t="s">
        <v>55</v>
      </c>
      <c r="D26" s="159"/>
      <c r="E26" s="159"/>
      <c r="F26" s="159"/>
      <c r="G26" s="159"/>
      <c r="H26" s="160"/>
      <c r="I26" s="188" t="s">
        <v>274</v>
      </c>
      <c r="J26" s="177"/>
      <c r="K26" s="29"/>
      <c r="L26" s="9"/>
      <c r="M26" s="9" t="s">
        <v>57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5" customHeight="1">
      <c r="A27" s="9"/>
      <c r="B27" s="27">
        <v>5</v>
      </c>
      <c r="C27" s="187" t="s">
        <v>58</v>
      </c>
      <c r="D27" s="159"/>
      <c r="E27" s="159"/>
      <c r="F27" s="159"/>
      <c r="G27" s="159"/>
      <c r="H27" s="160"/>
      <c r="I27" s="188" t="s">
        <v>59</v>
      </c>
      <c r="J27" s="177"/>
      <c r="K27" s="29"/>
      <c r="L27" s="9"/>
      <c r="M27" s="9" t="s">
        <v>60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5" customHeight="1">
      <c r="A28" s="9"/>
      <c r="B28" s="190"/>
      <c r="C28" s="191"/>
      <c r="D28" s="191"/>
      <c r="E28" s="191"/>
      <c r="F28" s="191"/>
      <c r="G28" s="191"/>
      <c r="H28" s="191"/>
      <c r="I28" s="191"/>
      <c r="J28" s="192"/>
      <c r="K28" s="10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5" customHeight="1">
      <c r="A29" s="9"/>
      <c r="B29" s="193" t="s">
        <v>61</v>
      </c>
      <c r="C29" s="159"/>
      <c r="D29" s="159"/>
      <c r="E29" s="159"/>
      <c r="F29" s="159"/>
      <c r="G29" s="159"/>
      <c r="H29" s="159"/>
      <c r="I29" s="159"/>
      <c r="J29" s="177"/>
      <c r="K29" s="3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>
      <c r="A30" s="9"/>
      <c r="B30" s="32">
        <v>1</v>
      </c>
      <c r="C30" s="194" t="s">
        <v>62</v>
      </c>
      <c r="D30" s="159"/>
      <c r="E30" s="159"/>
      <c r="F30" s="159"/>
      <c r="G30" s="159"/>
      <c r="H30" s="160"/>
      <c r="I30" s="195" t="s">
        <v>63</v>
      </c>
      <c r="J30" s="177"/>
      <c r="K30" s="3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5" customHeight="1">
      <c r="A31" s="9"/>
      <c r="B31" s="27" t="s">
        <v>21</v>
      </c>
      <c r="C31" s="175" t="s">
        <v>64</v>
      </c>
      <c r="D31" s="159"/>
      <c r="E31" s="159"/>
      <c r="F31" s="159"/>
      <c r="G31" s="159"/>
      <c r="H31" s="160"/>
      <c r="I31" s="197">
        <v>1260.43</v>
      </c>
      <c r="J31" s="177"/>
      <c r="K31" s="34">
        <f>((I31/(I25/220)))</f>
        <v>220.00000000000003</v>
      </c>
      <c r="L31" s="35"/>
      <c r="M31" s="196" t="s">
        <v>65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5" customHeight="1">
      <c r="A32" s="9"/>
      <c r="B32" s="36" t="s">
        <v>24</v>
      </c>
      <c r="C32" s="37" t="s">
        <v>66</v>
      </c>
      <c r="D32" s="38"/>
      <c r="E32" s="39" t="s">
        <v>67</v>
      </c>
      <c r="F32" s="39" t="s">
        <v>68</v>
      </c>
      <c r="G32" s="38"/>
      <c r="H32" s="40">
        <v>0.3</v>
      </c>
      <c r="I32" s="197">
        <f>IF(F32="N",0,I31*H32)</f>
        <v>0</v>
      </c>
      <c r="J32" s="177"/>
      <c r="K32" s="41"/>
      <c r="L32" s="9"/>
      <c r="M32" s="196" t="s">
        <v>69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5" customHeight="1">
      <c r="A33" s="9"/>
      <c r="B33" s="36" t="s">
        <v>28</v>
      </c>
      <c r="C33" s="37" t="s">
        <v>70</v>
      </c>
      <c r="D33" s="38"/>
      <c r="E33" s="39" t="s">
        <v>67</v>
      </c>
      <c r="F33" s="39" t="s">
        <v>68</v>
      </c>
      <c r="G33" s="42">
        <v>1260.43</v>
      </c>
      <c r="H33" s="40">
        <v>0.4</v>
      </c>
      <c r="I33" s="198">
        <f>IF(F33="N",0,G33*H33)</f>
        <v>0</v>
      </c>
      <c r="J33" s="177"/>
      <c r="K33" s="41"/>
      <c r="L33" s="9"/>
      <c r="M33" s="43" t="s">
        <v>71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5" customHeight="1">
      <c r="A34" s="9"/>
      <c r="B34" s="27" t="s">
        <v>32</v>
      </c>
      <c r="C34" s="37" t="s">
        <v>72</v>
      </c>
      <c r="D34" s="38"/>
      <c r="E34" s="39" t="s">
        <v>67</v>
      </c>
      <c r="F34" s="39" t="s">
        <v>68</v>
      </c>
      <c r="G34" s="42">
        <f>IF(F34="N",0,I31+I32)</f>
        <v>0</v>
      </c>
      <c r="H34" s="40">
        <v>0.25</v>
      </c>
      <c r="I34" s="197">
        <f>IF(F34="N",0,(G34/220)*H34*7*15.2)</f>
        <v>0</v>
      </c>
      <c r="J34" s="177"/>
      <c r="K34" s="44"/>
      <c r="L34" s="9"/>
      <c r="M34" s="43" t="s">
        <v>73</v>
      </c>
      <c r="N34" s="43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5" customHeight="1">
      <c r="A35" s="9"/>
      <c r="B35" s="27" t="s">
        <v>74</v>
      </c>
      <c r="C35" s="37" t="s">
        <v>75</v>
      </c>
      <c r="D35" s="38"/>
      <c r="E35" s="38"/>
      <c r="F35" s="38"/>
      <c r="G35" s="39" t="s">
        <v>67</v>
      </c>
      <c r="H35" s="45" t="s">
        <v>68</v>
      </c>
      <c r="I35" s="197">
        <f>IF(H35="N",0,(G34/220)*0.1429*7*15.2*H34)</f>
        <v>0</v>
      </c>
      <c r="J35" s="177"/>
      <c r="K35" s="44"/>
      <c r="L35" s="9"/>
      <c r="M35" s="9" t="s">
        <v>76</v>
      </c>
      <c r="N35" s="9"/>
      <c r="O35" s="9"/>
      <c r="P35" s="9"/>
      <c r="Q35" s="9"/>
      <c r="R35" s="35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5" customHeight="1">
      <c r="A36" s="9"/>
      <c r="B36" s="19" t="s">
        <v>77</v>
      </c>
      <c r="C36" s="201" t="s">
        <v>78</v>
      </c>
      <c r="D36" s="159"/>
      <c r="E36" s="159"/>
      <c r="F36" s="159"/>
      <c r="G36" s="159"/>
      <c r="H36" s="160"/>
      <c r="I36" s="199"/>
      <c r="J36" s="177"/>
      <c r="K36" s="35"/>
      <c r="L36" s="9"/>
      <c r="M36" s="200"/>
      <c r="N36" s="169"/>
      <c r="O36" s="46"/>
      <c r="P36" s="1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5" customHeight="1">
      <c r="A37" s="9"/>
      <c r="B37" s="27" t="s">
        <v>79</v>
      </c>
      <c r="C37" s="187" t="s">
        <v>80</v>
      </c>
      <c r="D37" s="159"/>
      <c r="E37" s="159"/>
      <c r="F37" s="159"/>
      <c r="G37" s="159"/>
      <c r="H37" s="160"/>
      <c r="I37" s="202"/>
      <c r="J37" s="203"/>
      <c r="K37" s="47"/>
      <c r="L37" s="35"/>
      <c r="M37" s="196"/>
      <c r="N37" s="16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5" customHeight="1">
      <c r="A38" s="9"/>
      <c r="B38" s="204" t="s">
        <v>81</v>
      </c>
      <c r="C38" s="159"/>
      <c r="D38" s="159"/>
      <c r="E38" s="159"/>
      <c r="F38" s="159"/>
      <c r="G38" s="159"/>
      <c r="H38" s="160"/>
      <c r="I38" s="205">
        <f>SUM(I31:J37)</f>
        <v>1260.43</v>
      </c>
      <c r="J38" s="177"/>
      <c r="K38" s="48"/>
      <c r="L38" s="9"/>
      <c r="M38" s="9" t="s">
        <v>82</v>
      </c>
      <c r="N38" s="9"/>
      <c r="O38" s="206"/>
      <c r="P38" s="173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5" customHeight="1">
      <c r="A39" s="9"/>
      <c r="B39" s="190"/>
      <c r="C39" s="191"/>
      <c r="D39" s="191"/>
      <c r="E39" s="191"/>
      <c r="F39" s="191"/>
      <c r="G39" s="191"/>
      <c r="H39" s="191"/>
      <c r="I39" s="191"/>
      <c r="J39" s="192"/>
      <c r="K39" s="10"/>
      <c r="L39" s="30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5" customHeight="1">
      <c r="A40" s="9"/>
      <c r="B40" s="193" t="s">
        <v>83</v>
      </c>
      <c r="C40" s="159"/>
      <c r="D40" s="159"/>
      <c r="E40" s="159"/>
      <c r="F40" s="159"/>
      <c r="G40" s="159"/>
      <c r="H40" s="159"/>
      <c r="I40" s="159"/>
      <c r="J40" s="177"/>
      <c r="K40" s="10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5" customHeight="1">
      <c r="A41" s="9"/>
      <c r="B41" s="186" t="s">
        <v>84</v>
      </c>
      <c r="C41" s="159"/>
      <c r="D41" s="159"/>
      <c r="E41" s="159"/>
      <c r="F41" s="159"/>
      <c r="G41" s="159"/>
      <c r="H41" s="159"/>
      <c r="I41" s="159"/>
      <c r="J41" s="177"/>
      <c r="K41" s="10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5" customHeight="1">
      <c r="A42" s="9"/>
      <c r="B42" s="32" t="s">
        <v>85</v>
      </c>
      <c r="C42" s="194" t="s">
        <v>86</v>
      </c>
      <c r="D42" s="159"/>
      <c r="E42" s="159"/>
      <c r="F42" s="159"/>
      <c r="G42" s="159"/>
      <c r="H42" s="160"/>
      <c r="I42" s="49" t="s">
        <v>87</v>
      </c>
      <c r="J42" s="50" t="s">
        <v>63</v>
      </c>
      <c r="K42" s="10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5" customHeight="1">
      <c r="A43" s="9"/>
      <c r="B43" s="27" t="s">
        <v>21</v>
      </c>
      <c r="C43" s="187" t="s">
        <v>88</v>
      </c>
      <c r="D43" s="159"/>
      <c r="E43" s="159"/>
      <c r="F43" s="159"/>
      <c r="G43" s="159"/>
      <c r="H43" s="160"/>
      <c r="I43" s="51">
        <f>1/12</f>
        <v>8.3333333333333329E-2</v>
      </c>
      <c r="J43" s="52">
        <f>I43*I38</f>
        <v>105.03583333333333</v>
      </c>
      <c r="K43" s="10"/>
      <c r="L43" s="9"/>
      <c r="M43" s="196" t="s">
        <v>89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5" customHeight="1">
      <c r="A44" s="9"/>
      <c r="B44" s="27" t="s">
        <v>24</v>
      </c>
      <c r="C44" s="187" t="s">
        <v>90</v>
      </c>
      <c r="D44" s="159"/>
      <c r="E44" s="159"/>
      <c r="F44" s="159"/>
      <c r="G44" s="159"/>
      <c r="H44" s="160"/>
      <c r="I44" s="53">
        <v>0.121</v>
      </c>
      <c r="J44" s="52">
        <f>I44*I38</f>
        <v>152.51203000000001</v>
      </c>
      <c r="K44" s="10"/>
      <c r="L44" s="9"/>
      <c r="M44" s="196" t="s">
        <v>91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5" customHeight="1">
      <c r="A45" s="9"/>
      <c r="B45" s="36" t="s">
        <v>28</v>
      </c>
      <c r="C45" s="207" t="s">
        <v>92</v>
      </c>
      <c r="D45" s="159"/>
      <c r="E45" s="159"/>
      <c r="F45" s="159"/>
      <c r="G45" s="159"/>
      <c r="H45" s="160"/>
      <c r="I45" s="54">
        <f>(I43+I44)*I58</f>
        <v>7.5194666666666674E-2</v>
      </c>
      <c r="J45" s="55">
        <f>I45*I38</f>
        <v>94.777613706666685</v>
      </c>
      <c r="K45" s="10"/>
      <c r="L45" s="9"/>
      <c r="M45" s="196" t="s">
        <v>93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5" customHeight="1">
      <c r="A46" s="9"/>
      <c r="B46" s="204" t="s">
        <v>94</v>
      </c>
      <c r="C46" s="159"/>
      <c r="D46" s="159"/>
      <c r="E46" s="159"/>
      <c r="F46" s="159"/>
      <c r="G46" s="159"/>
      <c r="H46" s="160"/>
      <c r="I46" s="205">
        <f>SUM(J43:J45)</f>
        <v>352.32547704000001</v>
      </c>
      <c r="J46" s="177"/>
      <c r="K46" s="10"/>
      <c r="L46" s="9"/>
      <c r="M46" s="9" t="s">
        <v>95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5" customHeight="1">
      <c r="A47" s="9"/>
      <c r="B47" s="208"/>
      <c r="C47" s="159"/>
      <c r="D47" s="159"/>
      <c r="E47" s="159"/>
      <c r="F47" s="159"/>
      <c r="G47" s="159"/>
      <c r="H47" s="159"/>
      <c r="I47" s="159"/>
      <c r="J47" s="177"/>
      <c r="K47" s="10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5" customHeight="1">
      <c r="A48" s="9"/>
      <c r="B48" s="186" t="s">
        <v>96</v>
      </c>
      <c r="C48" s="159"/>
      <c r="D48" s="159"/>
      <c r="E48" s="159"/>
      <c r="F48" s="159"/>
      <c r="G48" s="159"/>
      <c r="H48" s="159"/>
      <c r="I48" s="159"/>
      <c r="J48" s="177"/>
      <c r="K48" s="10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5" customHeight="1">
      <c r="A49" s="9"/>
      <c r="B49" s="32" t="s">
        <v>97</v>
      </c>
      <c r="C49" s="194" t="s">
        <v>98</v>
      </c>
      <c r="D49" s="159"/>
      <c r="E49" s="159"/>
      <c r="F49" s="159"/>
      <c r="G49" s="159"/>
      <c r="H49" s="160"/>
      <c r="I49" s="49" t="s">
        <v>87</v>
      </c>
      <c r="J49" s="50" t="s">
        <v>63</v>
      </c>
      <c r="K49" s="10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5" customHeight="1">
      <c r="A50" s="9"/>
      <c r="B50" s="27" t="s">
        <v>21</v>
      </c>
      <c r="C50" s="187" t="s">
        <v>99</v>
      </c>
      <c r="D50" s="159"/>
      <c r="E50" s="159"/>
      <c r="F50" s="159"/>
      <c r="G50" s="159"/>
      <c r="H50" s="160"/>
      <c r="I50" s="51">
        <v>0.2</v>
      </c>
      <c r="J50" s="56">
        <f t="shared" ref="J50:J57" si="0">I50*$I$38</f>
        <v>252.08600000000001</v>
      </c>
      <c r="K50" s="10"/>
      <c r="L50" s="57"/>
      <c r="M50" s="9" t="s">
        <v>100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5" customHeight="1">
      <c r="A51" s="9"/>
      <c r="B51" s="27" t="s">
        <v>24</v>
      </c>
      <c r="C51" s="187" t="s">
        <v>101</v>
      </c>
      <c r="D51" s="159"/>
      <c r="E51" s="159"/>
      <c r="F51" s="159"/>
      <c r="G51" s="159"/>
      <c r="H51" s="160"/>
      <c r="I51" s="51">
        <v>2.5000000000000001E-2</v>
      </c>
      <c r="J51" s="56">
        <f t="shared" si="0"/>
        <v>31.510750000000002</v>
      </c>
      <c r="K51" s="10"/>
      <c r="L51" s="57"/>
      <c r="M51" s="9" t="s">
        <v>102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5" customHeight="1">
      <c r="A52" s="9"/>
      <c r="B52" s="27" t="s">
        <v>28</v>
      </c>
      <c r="C52" s="58" t="s">
        <v>103</v>
      </c>
      <c r="D52" s="59"/>
      <c r="E52" s="60" t="s">
        <v>104</v>
      </c>
      <c r="F52" s="61">
        <v>1</v>
      </c>
      <c r="G52" s="62" t="s">
        <v>105</v>
      </c>
      <c r="H52" s="61">
        <v>3</v>
      </c>
      <c r="I52" s="63">
        <v>0.03</v>
      </c>
      <c r="J52" s="64">
        <f t="shared" si="0"/>
        <v>37.812899999999999</v>
      </c>
      <c r="K52" s="10"/>
      <c r="L52" s="57"/>
      <c r="M52" s="9" t="s">
        <v>106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5" customHeight="1">
      <c r="A53" s="9"/>
      <c r="B53" s="27" t="s">
        <v>32</v>
      </c>
      <c r="C53" s="187" t="s">
        <v>107</v>
      </c>
      <c r="D53" s="159"/>
      <c r="E53" s="159"/>
      <c r="F53" s="159"/>
      <c r="G53" s="159"/>
      <c r="H53" s="160"/>
      <c r="I53" s="51">
        <v>1.4999999999999999E-2</v>
      </c>
      <c r="J53" s="56">
        <f t="shared" si="0"/>
        <v>18.90645</v>
      </c>
      <c r="K53" s="10"/>
      <c r="L53" s="57"/>
      <c r="M53" s="9" t="s">
        <v>108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5" customHeight="1">
      <c r="A54" s="9"/>
      <c r="B54" s="27" t="s">
        <v>74</v>
      </c>
      <c r="C54" s="187" t="s">
        <v>109</v>
      </c>
      <c r="D54" s="159"/>
      <c r="E54" s="159"/>
      <c r="F54" s="159"/>
      <c r="G54" s="159"/>
      <c r="H54" s="160"/>
      <c r="I54" s="65">
        <v>0.01</v>
      </c>
      <c r="J54" s="56">
        <f t="shared" si="0"/>
        <v>12.6043</v>
      </c>
      <c r="K54" s="10"/>
      <c r="L54" s="57"/>
      <c r="M54" s="9" t="s">
        <v>110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5" customHeight="1">
      <c r="A55" s="9"/>
      <c r="B55" s="27" t="s">
        <v>77</v>
      </c>
      <c r="C55" s="187" t="s">
        <v>111</v>
      </c>
      <c r="D55" s="159"/>
      <c r="E55" s="159"/>
      <c r="F55" s="159"/>
      <c r="G55" s="159"/>
      <c r="H55" s="160"/>
      <c r="I55" s="51">
        <v>6.0000000000000001E-3</v>
      </c>
      <c r="J55" s="56">
        <f t="shared" si="0"/>
        <v>7.5625800000000005</v>
      </c>
      <c r="K55" s="10"/>
      <c r="L55" s="57"/>
      <c r="M55" s="9" t="s">
        <v>112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5" customHeight="1">
      <c r="A56" s="9"/>
      <c r="B56" s="27" t="s">
        <v>79</v>
      </c>
      <c r="C56" s="187" t="s">
        <v>113</v>
      </c>
      <c r="D56" s="159"/>
      <c r="E56" s="159"/>
      <c r="F56" s="159"/>
      <c r="G56" s="159"/>
      <c r="H56" s="160"/>
      <c r="I56" s="51">
        <v>2E-3</v>
      </c>
      <c r="J56" s="56">
        <f t="shared" si="0"/>
        <v>2.5208600000000003</v>
      </c>
      <c r="K56" s="10"/>
      <c r="L56" s="57"/>
      <c r="M56" s="9" t="s">
        <v>114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5" customHeight="1">
      <c r="A57" s="9"/>
      <c r="B57" s="27" t="s">
        <v>115</v>
      </c>
      <c r="C57" s="187" t="s">
        <v>116</v>
      </c>
      <c r="D57" s="159"/>
      <c r="E57" s="159"/>
      <c r="F57" s="159"/>
      <c r="G57" s="159"/>
      <c r="H57" s="160"/>
      <c r="I57" s="65">
        <v>0.08</v>
      </c>
      <c r="J57" s="56">
        <f t="shared" si="0"/>
        <v>100.8344</v>
      </c>
      <c r="K57" s="10"/>
      <c r="L57" s="57"/>
      <c r="M57" s="9" t="s">
        <v>117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5" customHeight="1">
      <c r="A58" s="9"/>
      <c r="B58" s="204" t="s">
        <v>118</v>
      </c>
      <c r="C58" s="159"/>
      <c r="D58" s="159"/>
      <c r="E58" s="159"/>
      <c r="F58" s="159"/>
      <c r="G58" s="159"/>
      <c r="H58" s="160"/>
      <c r="I58" s="66">
        <f t="shared" ref="I58:J58" si="1">SUM(I50:I57)</f>
        <v>0.36800000000000005</v>
      </c>
      <c r="J58" s="67">
        <f t="shared" si="1"/>
        <v>463.83824000000016</v>
      </c>
      <c r="K58" s="10"/>
      <c r="L58" s="57"/>
      <c r="M58" s="9" t="s">
        <v>119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5" customHeight="1">
      <c r="A59" s="9"/>
      <c r="B59" s="208"/>
      <c r="C59" s="159"/>
      <c r="D59" s="159"/>
      <c r="E59" s="159"/>
      <c r="F59" s="159"/>
      <c r="G59" s="159"/>
      <c r="H59" s="159"/>
      <c r="I59" s="159"/>
      <c r="J59" s="177"/>
      <c r="K59" s="10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5" customHeight="1">
      <c r="A60" s="9"/>
      <c r="B60" s="204" t="s">
        <v>120</v>
      </c>
      <c r="C60" s="159"/>
      <c r="D60" s="159"/>
      <c r="E60" s="159"/>
      <c r="F60" s="159"/>
      <c r="G60" s="159"/>
      <c r="H60" s="159"/>
      <c r="I60" s="159"/>
      <c r="J60" s="177"/>
      <c r="K60" s="10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5" customHeight="1">
      <c r="A61" s="9"/>
      <c r="B61" s="32" t="s">
        <v>121</v>
      </c>
      <c r="C61" s="194" t="s">
        <v>122</v>
      </c>
      <c r="D61" s="159"/>
      <c r="E61" s="159"/>
      <c r="F61" s="159"/>
      <c r="G61" s="159"/>
      <c r="H61" s="160"/>
      <c r="I61" s="211" t="s">
        <v>63</v>
      </c>
      <c r="J61" s="177"/>
      <c r="K61" s="6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5" customHeight="1">
      <c r="A62" s="9"/>
      <c r="B62" s="212" t="s">
        <v>21</v>
      </c>
      <c r="C62" s="214" t="s">
        <v>123</v>
      </c>
      <c r="D62" s="69" t="s">
        <v>124</v>
      </c>
      <c r="E62" s="69" t="s">
        <v>125</v>
      </c>
      <c r="F62" s="69" t="s">
        <v>126</v>
      </c>
      <c r="G62" s="69" t="s">
        <v>127</v>
      </c>
      <c r="H62" s="69" t="s">
        <v>128</v>
      </c>
      <c r="I62" s="216">
        <f>IF(D63="N",0,(E63*F63*G63)-H63)</f>
        <v>95.974199999999996</v>
      </c>
      <c r="J62" s="217"/>
      <c r="K62" s="41"/>
      <c r="L62" s="9"/>
      <c r="M62" s="9" t="s">
        <v>129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209"/>
      <c r="AC62" s="210"/>
      <c r="AD62" s="209"/>
      <c r="AE62" s="210"/>
      <c r="AF62" s="209"/>
      <c r="AG62" s="210"/>
    </row>
    <row r="63" spans="1:33" ht="15" customHeight="1">
      <c r="A63" s="9"/>
      <c r="B63" s="213"/>
      <c r="C63" s="215"/>
      <c r="D63" s="69" t="s">
        <v>130</v>
      </c>
      <c r="E63" s="42">
        <v>3.3</v>
      </c>
      <c r="F63" s="69">
        <v>2</v>
      </c>
      <c r="G63" s="69">
        <v>26</v>
      </c>
      <c r="H63" s="42">
        <f>I31*0.06</f>
        <v>75.625799999999998</v>
      </c>
      <c r="I63" s="218">
        <f>IF(I62&gt;=0,I62,0)</f>
        <v>95.974199999999996</v>
      </c>
      <c r="J63" s="185"/>
      <c r="K63" s="41"/>
      <c r="L63" s="9"/>
      <c r="M63" s="9" t="s">
        <v>131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70"/>
      <c r="AC63" s="71"/>
      <c r="AD63" s="72"/>
      <c r="AE63" s="73"/>
      <c r="AF63" s="74"/>
      <c r="AG63" s="73"/>
    </row>
    <row r="64" spans="1:33" ht="15" customHeight="1">
      <c r="A64" s="9"/>
      <c r="B64" s="212" t="s">
        <v>24</v>
      </c>
      <c r="C64" s="219" t="s">
        <v>132</v>
      </c>
      <c r="D64" s="220"/>
      <c r="E64" s="69" t="s">
        <v>124</v>
      </c>
      <c r="F64" s="69" t="s">
        <v>125</v>
      </c>
      <c r="G64" s="69" t="s">
        <v>133</v>
      </c>
      <c r="H64" s="69" t="s">
        <v>128</v>
      </c>
      <c r="I64" s="223">
        <f>IF(E65="N",0,(F65*G65)-H65)</f>
        <v>154.44</v>
      </c>
      <c r="J64" s="192"/>
      <c r="K64" s="41"/>
      <c r="L64" s="9"/>
      <c r="M64" s="9" t="s">
        <v>134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75"/>
      <c r="AC64" s="76"/>
      <c r="AD64" s="75"/>
      <c r="AE64" s="77"/>
      <c r="AF64" s="75"/>
      <c r="AG64" s="77"/>
    </row>
    <row r="65" spans="1:33" ht="15" customHeight="1">
      <c r="A65" s="9"/>
      <c r="B65" s="213"/>
      <c r="C65" s="221"/>
      <c r="D65" s="222"/>
      <c r="E65" s="69" t="s">
        <v>130</v>
      </c>
      <c r="F65" s="42">
        <v>193.05</v>
      </c>
      <c r="G65" s="69">
        <v>1</v>
      </c>
      <c r="H65" s="42">
        <f>F65*G65*20%</f>
        <v>38.610000000000007</v>
      </c>
      <c r="I65" s="221"/>
      <c r="J65" s="203"/>
      <c r="K65" s="41"/>
      <c r="L65" s="9"/>
      <c r="M65" s="9" t="s">
        <v>135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78"/>
      <c r="AC65" s="79"/>
      <c r="AD65" s="78"/>
      <c r="AE65" s="80"/>
      <c r="AF65" s="78"/>
      <c r="AG65" s="80"/>
    </row>
    <row r="66" spans="1:33" ht="15" customHeight="1">
      <c r="A66" s="9"/>
      <c r="B66" s="27" t="s">
        <v>28</v>
      </c>
      <c r="C66" s="207" t="s">
        <v>136</v>
      </c>
      <c r="D66" s="159"/>
      <c r="E66" s="159"/>
      <c r="F66" s="159"/>
      <c r="G66" s="159"/>
      <c r="H66" s="160"/>
      <c r="I66" s="224">
        <v>2</v>
      </c>
      <c r="J66" s="177"/>
      <c r="K66" s="81"/>
      <c r="L66" s="9"/>
      <c r="M66" s="9" t="s">
        <v>137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82"/>
      <c r="AC66" s="82"/>
      <c r="AD66" s="82"/>
      <c r="AE66" s="82"/>
      <c r="AF66" s="82"/>
      <c r="AG66" s="82"/>
    </row>
    <row r="67" spans="1:33" ht="15" customHeight="1">
      <c r="A67" s="9"/>
      <c r="B67" s="27" t="s">
        <v>32</v>
      </c>
      <c r="C67" s="207" t="s">
        <v>138</v>
      </c>
      <c r="D67" s="159"/>
      <c r="E67" s="160"/>
      <c r="F67" s="83" t="s">
        <v>139</v>
      </c>
      <c r="G67" s="42">
        <v>12.12</v>
      </c>
      <c r="H67" s="42">
        <v>4.47</v>
      </c>
      <c r="I67" s="224">
        <f>G67+H67</f>
        <v>16.59</v>
      </c>
      <c r="J67" s="177"/>
      <c r="K67" s="41"/>
      <c r="L67" s="9"/>
      <c r="M67" s="9" t="s">
        <v>140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82"/>
      <c r="AC67" s="82"/>
      <c r="AD67" s="82"/>
      <c r="AE67" s="82"/>
      <c r="AF67" s="82"/>
      <c r="AG67" s="82"/>
    </row>
    <row r="68" spans="1:33" ht="15" customHeight="1">
      <c r="A68" s="9"/>
      <c r="B68" s="27" t="s">
        <v>74</v>
      </c>
      <c r="C68" s="207" t="s">
        <v>141</v>
      </c>
      <c r="D68" s="159"/>
      <c r="E68" s="159"/>
      <c r="F68" s="159"/>
      <c r="G68" s="159"/>
      <c r="H68" s="160"/>
      <c r="I68" s="224">
        <v>110.16</v>
      </c>
      <c r="J68" s="177"/>
      <c r="K68" s="41"/>
      <c r="L68" s="9"/>
      <c r="M68" s="9" t="s">
        <v>140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82"/>
      <c r="AC68" s="82"/>
      <c r="AD68" s="82"/>
      <c r="AE68" s="82"/>
      <c r="AF68" s="82"/>
      <c r="AG68" s="82"/>
    </row>
    <row r="69" spans="1:33" ht="15" customHeight="1">
      <c r="A69" s="9"/>
      <c r="B69" s="204" t="s">
        <v>94</v>
      </c>
      <c r="C69" s="159"/>
      <c r="D69" s="159"/>
      <c r="E69" s="159"/>
      <c r="F69" s="159"/>
      <c r="G69" s="159"/>
      <c r="H69" s="160"/>
      <c r="I69" s="205">
        <f>SUM(I63:J68)</f>
        <v>379.16419999999994</v>
      </c>
      <c r="J69" s="177"/>
      <c r="K69" s="48"/>
      <c r="L69" s="9"/>
      <c r="M69" s="9" t="s">
        <v>142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5" customHeight="1">
      <c r="A70" s="9"/>
      <c r="B70" s="225"/>
      <c r="C70" s="173"/>
      <c r="D70" s="173"/>
      <c r="E70" s="173"/>
      <c r="F70" s="173"/>
      <c r="G70" s="173"/>
      <c r="H70" s="173"/>
      <c r="I70" s="173"/>
      <c r="J70" s="226"/>
      <c r="K70" s="4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5" customHeight="1">
      <c r="A71" s="9"/>
      <c r="B71" s="227" t="s">
        <v>143</v>
      </c>
      <c r="C71" s="169"/>
      <c r="D71" s="169"/>
      <c r="E71" s="169"/>
      <c r="F71" s="169"/>
      <c r="G71" s="169"/>
      <c r="H71" s="169"/>
      <c r="I71" s="169"/>
      <c r="J71" s="170"/>
      <c r="K71" s="4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5" customHeight="1">
      <c r="A72" s="9"/>
      <c r="B72" s="228"/>
      <c r="C72" s="184"/>
      <c r="D72" s="184"/>
      <c r="E72" s="184"/>
      <c r="F72" s="184"/>
      <c r="G72" s="184"/>
      <c r="H72" s="184"/>
      <c r="I72" s="184"/>
      <c r="J72" s="185"/>
      <c r="K72" s="4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5" customHeight="1">
      <c r="A73" s="9"/>
      <c r="B73" s="32">
        <v>2</v>
      </c>
      <c r="C73" s="194" t="s">
        <v>144</v>
      </c>
      <c r="D73" s="159"/>
      <c r="E73" s="159"/>
      <c r="F73" s="159"/>
      <c r="G73" s="159"/>
      <c r="H73" s="160"/>
      <c r="I73" s="211" t="s">
        <v>63</v>
      </c>
      <c r="J73" s="177"/>
      <c r="K73" s="4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5" customHeight="1">
      <c r="A74" s="9"/>
      <c r="B74" s="36" t="s">
        <v>85</v>
      </c>
      <c r="C74" s="207" t="s">
        <v>145</v>
      </c>
      <c r="D74" s="159"/>
      <c r="E74" s="159"/>
      <c r="F74" s="159"/>
      <c r="G74" s="159"/>
      <c r="H74" s="160"/>
      <c r="I74" s="197">
        <f>I46</f>
        <v>352.32547704000001</v>
      </c>
      <c r="J74" s="177"/>
      <c r="K74" s="48"/>
      <c r="L74" s="9"/>
      <c r="M74" s="9" t="s">
        <v>146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5" customHeight="1">
      <c r="A75" s="9"/>
      <c r="B75" s="36" t="s">
        <v>97</v>
      </c>
      <c r="C75" s="207" t="s">
        <v>98</v>
      </c>
      <c r="D75" s="159"/>
      <c r="E75" s="159"/>
      <c r="F75" s="159"/>
      <c r="G75" s="159"/>
      <c r="H75" s="160"/>
      <c r="I75" s="197">
        <f>J58</f>
        <v>463.83824000000016</v>
      </c>
      <c r="J75" s="177"/>
      <c r="K75" s="48"/>
      <c r="L75" s="9"/>
      <c r="M75" s="9" t="s">
        <v>147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5" customHeight="1">
      <c r="A76" s="9"/>
      <c r="B76" s="36" t="s">
        <v>121</v>
      </c>
      <c r="C76" s="207" t="s">
        <v>122</v>
      </c>
      <c r="D76" s="159"/>
      <c r="E76" s="159"/>
      <c r="F76" s="159"/>
      <c r="G76" s="159"/>
      <c r="H76" s="160"/>
      <c r="I76" s="197">
        <f>I69</f>
        <v>379.16419999999994</v>
      </c>
      <c r="J76" s="177"/>
      <c r="K76" s="48"/>
      <c r="L76" s="9"/>
      <c r="M76" s="9" t="s">
        <v>148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5" customHeight="1">
      <c r="A77" s="9"/>
      <c r="B77" s="204" t="s">
        <v>94</v>
      </c>
      <c r="C77" s="159"/>
      <c r="D77" s="159"/>
      <c r="E77" s="159"/>
      <c r="F77" s="159"/>
      <c r="G77" s="159"/>
      <c r="H77" s="160"/>
      <c r="I77" s="205">
        <f>SUM(I74:J76)</f>
        <v>1195.3279170400001</v>
      </c>
      <c r="J77" s="177"/>
      <c r="K77" s="48"/>
      <c r="L77" s="9"/>
      <c r="M77" s="9" t="s">
        <v>149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5" customHeight="1">
      <c r="A78" s="9"/>
      <c r="B78" s="225"/>
      <c r="C78" s="173"/>
      <c r="D78" s="173"/>
      <c r="E78" s="173"/>
      <c r="F78" s="173"/>
      <c r="G78" s="173"/>
      <c r="H78" s="173"/>
      <c r="I78" s="173"/>
      <c r="J78" s="226"/>
      <c r="K78" s="4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5" customHeight="1">
      <c r="A79" s="9"/>
      <c r="B79" s="193" t="s">
        <v>150</v>
      </c>
      <c r="C79" s="159"/>
      <c r="D79" s="159"/>
      <c r="E79" s="159"/>
      <c r="F79" s="159"/>
      <c r="G79" s="159"/>
      <c r="H79" s="159"/>
      <c r="I79" s="159"/>
      <c r="J79" s="177"/>
      <c r="K79" s="4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5" customHeight="1">
      <c r="A80" s="9"/>
      <c r="B80" s="32">
        <v>3</v>
      </c>
      <c r="C80" s="194" t="s">
        <v>151</v>
      </c>
      <c r="D80" s="159"/>
      <c r="E80" s="159"/>
      <c r="F80" s="159"/>
      <c r="G80" s="159"/>
      <c r="H80" s="160"/>
      <c r="I80" s="49" t="s">
        <v>87</v>
      </c>
      <c r="J80" s="50" t="s">
        <v>63</v>
      </c>
      <c r="K80" s="4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4" ht="15" customHeight="1">
      <c r="A81" s="9"/>
      <c r="B81" s="27" t="s">
        <v>21</v>
      </c>
      <c r="C81" s="187" t="s">
        <v>152</v>
      </c>
      <c r="D81" s="159"/>
      <c r="E81" s="159"/>
      <c r="F81" s="159"/>
      <c r="G81" s="159"/>
      <c r="H81" s="160"/>
      <c r="I81" s="54">
        <f>(1/12)*0.0555*0.5624</f>
        <v>2.6010999999999999E-3</v>
      </c>
      <c r="J81" s="56">
        <f t="shared" ref="J81:J86" si="2">I81*$I$38</f>
        <v>3.2785044729999999</v>
      </c>
      <c r="K81" s="48"/>
      <c r="L81" s="9"/>
      <c r="M81" s="9" t="s">
        <v>153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4" ht="15" customHeight="1">
      <c r="A82" s="9"/>
      <c r="B82" s="27" t="s">
        <v>24</v>
      </c>
      <c r="C82" s="187" t="s">
        <v>154</v>
      </c>
      <c r="D82" s="159"/>
      <c r="E82" s="159"/>
      <c r="F82" s="159"/>
      <c r="G82" s="159"/>
      <c r="H82" s="160"/>
      <c r="I82" s="54">
        <f>I57*I81</f>
        <v>2.0808799999999999E-4</v>
      </c>
      <c r="J82" s="56">
        <f t="shared" si="2"/>
        <v>0.26228035783999998</v>
      </c>
      <c r="K82" s="48"/>
      <c r="L82" s="9"/>
      <c r="M82" s="9" t="s">
        <v>155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4" ht="15" customHeight="1">
      <c r="A83" s="9"/>
      <c r="B83" s="27" t="s">
        <v>28</v>
      </c>
      <c r="C83" s="187" t="s">
        <v>156</v>
      </c>
      <c r="D83" s="159"/>
      <c r="E83" s="159"/>
      <c r="F83" s="159"/>
      <c r="G83" s="159"/>
      <c r="H83" s="160"/>
      <c r="I83" s="54">
        <v>0.02</v>
      </c>
      <c r="J83" s="56">
        <f t="shared" si="2"/>
        <v>25.208600000000001</v>
      </c>
      <c r="K83" s="48"/>
      <c r="L83" s="84"/>
      <c r="M83" s="9" t="s">
        <v>275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4" ht="15" customHeight="1">
      <c r="A84" s="9"/>
      <c r="B84" s="27" t="s">
        <v>32</v>
      </c>
      <c r="C84" s="187" t="s">
        <v>158</v>
      </c>
      <c r="D84" s="159"/>
      <c r="E84" s="159"/>
      <c r="F84" s="159"/>
      <c r="G84" s="159"/>
      <c r="H84" s="160"/>
      <c r="I84" s="54">
        <f>(7/30)/12*0.5624*0.9445</f>
        <v>1.0328632222222222E-2</v>
      </c>
      <c r="J84" s="56">
        <f t="shared" si="2"/>
        <v>13.018517911855556</v>
      </c>
      <c r="K84" s="48"/>
      <c r="L84" s="9"/>
      <c r="M84" s="9" t="s">
        <v>159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4" ht="15" customHeight="1">
      <c r="A85" s="9"/>
      <c r="B85" s="27" t="s">
        <v>74</v>
      </c>
      <c r="C85" s="187" t="s">
        <v>160</v>
      </c>
      <c r="D85" s="159"/>
      <c r="E85" s="159"/>
      <c r="F85" s="159"/>
      <c r="G85" s="159"/>
      <c r="H85" s="160"/>
      <c r="I85" s="54">
        <f>I84*I58</f>
        <v>3.8009366577777784E-3</v>
      </c>
      <c r="J85" s="56">
        <f t="shared" si="2"/>
        <v>4.7908145915628451</v>
      </c>
      <c r="K85" s="48"/>
      <c r="L85" s="9"/>
      <c r="M85" s="9" t="s">
        <v>161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4" ht="15" customHeight="1">
      <c r="A86" s="9"/>
      <c r="B86" s="27" t="s">
        <v>77</v>
      </c>
      <c r="C86" s="187" t="s">
        <v>162</v>
      </c>
      <c r="D86" s="159"/>
      <c r="E86" s="159"/>
      <c r="F86" s="159"/>
      <c r="G86" s="159"/>
      <c r="H86" s="160"/>
      <c r="I86" s="54">
        <v>0.02</v>
      </c>
      <c r="J86" s="56">
        <f t="shared" si="2"/>
        <v>25.208600000000001</v>
      </c>
      <c r="K86" s="48"/>
      <c r="L86" s="9"/>
      <c r="M86" s="9" t="s">
        <v>163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4" ht="15" customHeight="1">
      <c r="A87" s="9"/>
      <c r="B87" s="204" t="s">
        <v>94</v>
      </c>
      <c r="C87" s="159"/>
      <c r="D87" s="159"/>
      <c r="E87" s="159"/>
      <c r="F87" s="159"/>
      <c r="G87" s="159"/>
      <c r="H87" s="160"/>
      <c r="I87" s="205">
        <f>SUM(J81:J86)</f>
        <v>71.767317334258394</v>
      </c>
      <c r="J87" s="177"/>
      <c r="K87" s="48"/>
      <c r="L87" s="9"/>
      <c r="M87" s="9" t="s">
        <v>164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4" ht="15" customHeight="1">
      <c r="A88" s="9"/>
      <c r="B88" s="208"/>
      <c r="C88" s="159"/>
      <c r="D88" s="159"/>
      <c r="E88" s="159"/>
      <c r="F88" s="159"/>
      <c r="G88" s="159"/>
      <c r="H88" s="159"/>
      <c r="I88" s="159"/>
      <c r="J88" s="177"/>
      <c r="K88" s="4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4" ht="15" customHeight="1">
      <c r="A89" s="9"/>
      <c r="B89" s="193" t="s">
        <v>165</v>
      </c>
      <c r="C89" s="159"/>
      <c r="D89" s="159"/>
      <c r="E89" s="159"/>
      <c r="F89" s="159"/>
      <c r="G89" s="159"/>
      <c r="H89" s="159"/>
      <c r="I89" s="159"/>
      <c r="J89" s="177"/>
      <c r="K89" s="4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4" ht="15" customHeight="1">
      <c r="A90" s="9"/>
      <c r="B90" s="204" t="s">
        <v>166</v>
      </c>
      <c r="C90" s="159"/>
      <c r="D90" s="159"/>
      <c r="E90" s="159"/>
      <c r="F90" s="159"/>
      <c r="G90" s="159"/>
      <c r="H90" s="159"/>
      <c r="I90" s="159"/>
      <c r="J90" s="177"/>
      <c r="K90" s="4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4" ht="15" customHeight="1">
      <c r="A91" s="9"/>
      <c r="B91" s="32" t="s">
        <v>167</v>
      </c>
      <c r="C91" s="194" t="s">
        <v>168</v>
      </c>
      <c r="D91" s="159"/>
      <c r="E91" s="159"/>
      <c r="F91" s="159"/>
      <c r="G91" s="159"/>
      <c r="H91" s="160"/>
      <c r="I91" s="49" t="s">
        <v>87</v>
      </c>
      <c r="J91" s="85" t="s">
        <v>63</v>
      </c>
      <c r="K91" s="4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27" t="s">
        <v>21</v>
      </c>
      <c r="C92" s="187" t="s">
        <v>169</v>
      </c>
      <c r="D92" s="159"/>
      <c r="E92" s="159"/>
      <c r="F92" s="159"/>
      <c r="G92" s="159"/>
      <c r="H92" s="160"/>
      <c r="I92" s="51">
        <f>((1+1+1/3)*(1/12))/12</f>
        <v>1.6203703703703703E-2</v>
      </c>
      <c r="J92" s="52">
        <f t="shared" ref="J92:J97" si="3">I92*$I$38</f>
        <v>20.423634259259259</v>
      </c>
      <c r="K92" s="48"/>
      <c r="L92" s="9"/>
      <c r="M92" s="86" t="s">
        <v>255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27" t="s">
        <v>24</v>
      </c>
      <c r="C93" s="187" t="s">
        <v>171</v>
      </c>
      <c r="D93" s="159"/>
      <c r="E93" s="159"/>
      <c r="F93" s="159"/>
      <c r="G93" s="159"/>
      <c r="H93" s="160"/>
      <c r="I93" s="51">
        <f>((8/30)/12)</f>
        <v>2.2222222222222223E-2</v>
      </c>
      <c r="J93" s="52">
        <f t="shared" si="3"/>
        <v>28.009555555555558</v>
      </c>
      <c r="K93" s="48"/>
      <c r="L93" s="9"/>
      <c r="M93" s="9" t="s">
        <v>172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27" t="s">
        <v>28</v>
      </c>
      <c r="C94" s="187" t="s">
        <v>173</v>
      </c>
      <c r="D94" s="159"/>
      <c r="E94" s="159"/>
      <c r="F94" s="159"/>
      <c r="G94" s="159"/>
      <c r="H94" s="160"/>
      <c r="I94" s="51">
        <f>((20/30)/12)*1.416%*45.22%</f>
        <v>3.557306666666666E-4</v>
      </c>
      <c r="J94" s="52">
        <f t="shared" si="3"/>
        <v>0.44837360418666661</v>
      </c>
      <c r="K94" s="48"/>
      <c r="L94" s="9"/>
      <c r="M94" s="9" t="s">
        <v>174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27" t="s">
        <v>32</v>
      </c>
      <c r="C95" s="187" t="s">
        <v>175</v>
      </c>
      <c r="D95" s="159"/>
      <c r="E95" s="159"/>
      <c r="F95" s="159"/>
      <c r="G95" s="159"/>
      <c r="H95" s="160"/>
      <c r="I95" s="51">
        <f>((15/30)/12*0.0044)</f>
        <v>1.8333333333333334E-4</v>
      </c>
      <c r="J95" s="52">
        <f t="shared" si="3"/>
        <v>0.23107883333333334</v>
      </c>
      <c r="K95" s="48"/>
      <c r="L95" s="9"/>
      <c r="M95" s="9" t="s">
        <v>176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27" t="s">
        <v>74</v>
      </c>
      <c r="C96" s="187" t="s">
        <v>177</v>
      </c>
      <c r="D96" s="159"/>
      <c r="E96" s="159"/>
      <c r="F96" s="159"/>
      <c r="G96" s="159"/>
      <c r="H96" s="160"/>
      <c r="I96" s="51">
        <f>(((180/30)/12)*1.416%*54.78%*I58)</f>
        <v>1.4272600320000002E-3</v>
      </c>
      <c r="J96" s="52">
        <f t="shared" si="3"/>
        <v>1.7989613621337603</v>
      </c>
      <c r="K96" s="48"/>
      <c r="L96" s="9"/>
      <c r="M96" s="9" t="s">
        <v>178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27" t="s">
        <v>77</v>
      </c>
      <c r="C97" s="187" t="s">
        <v>179</v>
      </c>
      <c r="D97" s="159"/>
      <c r="E97" s="159"/>
      <c r="F97" s="159"/>
      <c r="G97" s="159"/>
      <c r="H97" s="160"/>
      <c r="I97" s="51">
        <f>(5.96/30)/12</f>
        <v>1.6555555555555556E-2</v>
      </c>
      <c r="J97" s="52">
        <f t="shared" si="3"/>
        <v>20.867118888888889</v>
      </c>
      <c r="K97" s="48"/>
      <c r="L97" s="9"/>
      <c r="M97" s="9" t="s">
        <v>180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204" t="s">
        <v>94</v>
      </c>
      <c r="C98" s="159"/>
      <c r="D98" s="159"/>
      <c r="E98" s="159"/>
      <c r="F98" s="159"/>
      <c r="G98" s="159"/>
      <c r="H98" s="160"/>
      <c r="I98" s="87">
        <f t="shared" ref="I98:J98" si="4">SUM(I92:I97)</f>
        <v>5.6947805513481484E-2</v>
      </c>
      <c r="J98" s="88">
        <f t="shared" si="4"/>
        <v>71.778722503357471</v>
      </c>
      <c r="K98" s="48"/>
      <c r="L98" s="9"/>
      <c r="M98" s="9" t="s">
        <v>164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225"/>
      <c r="C99" s="173"/>
      <c r="D99" s="173"/>
      <c r="E99" s="173"/>
      <c r="F99" s="173"/>
      <c r="G99" s="173"/>
      <c r="H99" s="173"/>
      <c r="I99" s="173"/>
      <c r="J99" s="226"/>
      <c r="K99" s="4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204" t="s">
        <v>181</v>
      </c>
      <c r="C100" s="159"/>
      <c r="D100" s="159"/>
      <c r="E100" s="159"/>
      <c r="F100" s="159"/>
      <c r="G100" s="159"/>
      <c r="H100" s="159"/>
      <c r="I100" s="159"/>
      <c r="J100" s="177"/>
      <c r="K100" s="4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32" t="s">
        <v>182</v>
      </c>
      <c r="C101" s="194" t="s">
        <v>183</v>
      </c>
      <c r="D101" s="159"/>
      <c r="E101" s="159"/>
      <c r="F101" s="159"/>
      <c r="G101" s="159"/>
      <c r="H101" s="160"/>
      <c r="I101" s="49" t="s">
        <v>87</v>
      </c>
      <c r="J101" s="85" t="s">
        <v>63</v>
      </c>
      <c r="K101" s="48"/>
      <c r="L101" s="9"/>
      <c r="M101" s="9"/>
      <c r="N101" s="9" t="s">
        <v>184</v>
      </c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27" t="s">
        <v>21</v>
      </c>
      <c r="C102" s="187" t="s">
        <v>185</v>
      </c>
      <c r="D102" s="159"/>
      <c r="E102" s="159"/>
      <c r="F102" s="159"/>
      <c r="G102" s="159"/>
      <c r="H102" s="160"/>
      <c r="I102" s="51"/>
      <c r="J102" s="52">
        <f>(I31+I32+I33)*I102</f>
        <v>0</v>
      </c>
      <c r="K102" s="4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204" t="s">
        <v>94</v>
      </c>
      <c r="C103" s="159"/>
      <c r="D103" s="159"/>
      <c r="E103" s="159"/>
      <c r="F103" s="159"/>
      <c r="G103" s="159"/>
      <c r="H103" s="160"/>
      <c r="I103" s="205">
        <f>SUM(J99:J102)</f>
        <v>0</v>
      </c>
      <c r="J103" s="177"/>
      <c r="K103" s="4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168"/>
      <c r="C104" s="169"/>
      <c r="D104" s="169"/>
      <c r="E104" s="169"/>
      <c r="F104" s="169"/>
      <c r="G104" s="169"/>
      <c r="H104" s="169"/>
      <c r="I104" s="169"/>
      <c r="J104" s="170"/>
      <c r="K104" s="4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227" t="s">
        <v>186</v>
      </c>
      <c r="C105" s="169"/>
      <c r="D105" s="169"/>
      <c r="E105" s="169"/>
      <c r="F105" s="169"/>
      <c r="G105" s="169"/>
      <c r="H105" s="169"/>
      <c r="I105" s="169"/>
      <c r="J105" s="170"/>
      <c r="K105" s="4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228"/>
      <c r="C106" s="184"/>
      <c r="D106" s="184"/>
      <c r="E106" s="184"/>
      <c r="F106" s="184"/>
      <c r="G106" s="184"/>
      <c r="H106" s="184"/>
      <c r="I106" s="184"/>
      <c r="J106" s="185"/>
      <c r="K106" s="4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32">
        <v>4</v>
      </c>
      <c r="C107" s="194" t="s">
        <v>144</v>
      </c>
      <c r="D107" s="159"/>
      <c r="E107" s="159"/>
      <c r="F107" s="159"/>
      <c r="G107" s="159"/>
      <c r="H107" s="160"/>
      <c r="I107" s="211" t="s">
        <v>63</v>
      </c>
      <c r="J107" s="177"/>
      <c r="K107" s="4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36" t="s">
        <v>167</v>
      </c>
      <c r="C108" s="207" t="s">
        <v>187</v>
      </c>
      <c r="D108" s="159"/>
      <c r="E108" s="159"/>
      <c r="F108" s="159"/>
      <c r="G108" s="159"/>
      <c r="H108" s="160"/>
      <c r="I108" s="197">
        <f>J98</f>
        <v>71.778722503357471</v>
      </c>
      <c r="J108" s="177"/>
      <c r="K108" s="48"/>
      <c r="L108" s="9"/>
      <c r="M108" s="9" t="s">
        <v>188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36" t="s">
        <v>182</v>
      </c>
      <c r="C109" s="207" t="s">
        <v>183</v>
      </c>
      <c r="D109" s="159"/>
      <c r="E109" s="159"/>
      <c r="F109" s="159"/>
      <c r="G109" s="159"/>
      <c r="H109" s="160"/>
      <c r="I109" s="197">
        <f>I103</f>
        <v>0</v>
      </c>
      <c r="J109" s="177"/>
      <c r="K109" s="48"/>
      <c r="L109" s="9"/>
      <c r="M109" s="9" t="s">
        <v>189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customHeight="1">
      <c r="A110" s="9"/>
      <c r="B110" s="204" t="s">
        <v>94</v>
      </c>
      <c r="C110" s="159"/>
      <c r="D110" s="159"/>
      <c r="E110" s="159"/>
      <c r="F110" s="159"/>
      <c r="G110" s="159"/>
      <c r="H110" s="160"/>
      <c r="I110" s="205">
        <f>SUM(I108:J109)</f>
        <v>71.778722503357471</v>
      </c>
      <c r="J110" s="177"/>
      <c r="K110" s="4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5" customHeight="1">
      <c r="A111" s="1"/>
      <c r="B111" s="225"/>
      <c r="C111" s="173"/>
      <c r="D111" s="173"/>
      <c r="E111" s="173"/>
      <c r="F111" s="173"/>
      <c r="G111" s="173"/>
      <c r="H111" s="173"/>
      <c r="I111" s="173"/>
      <c r="J111" s="226"/>
      <c r="K111" s="1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>
      <c r="A112" s="1"/>
      <c r="B112" s="193" t="s">
        <v>190</v>
      </c>
      <c r="C112" s="159"/>
      <c r="D112" s="159"/>
      <c r="E112" s="159"/>
      <c r="F112" s="159"/>
      <c r="G112" s="159"/>
      <c r="H112" s="159"/>
      <c r="I112" s="159"/>
      <c r="J112" s="177"/>
      <c r="K112" s="3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5" customHeight="1">
      <c r="A113" s="1"/>
      <c r="B113" s="32">
        <v>5</v>
      </c>
      <c r="C113" s="194" t="s">
        <v>191</v>
      </c>
      <c r="D113" s="159"/>
      <c r="E113" s="159"/>
      <c r="F113" s="159"/>
      <c r="G113" s="159"/>
      <c r="H113" s="160"/>
      <c r="I113" s="211" t="s">
        <v>63</v>
      </c>
      <c r="J113" s="177"/>
      <c r="K113" s="68"/>
      <c r="L113" s="9"/>
      <c r="M113" s="8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5" customHeight="1">
      <c r="A114" s="1"/>
      <c r="B114" s="36" t="s">
        <v>21</v>
      </c>
      <c r="C114" s="207" t="s">
        <v>192</v>
      </c>
      <c r="D114" s="159"/>
      <c r="E114" s="159"/>
      <c r="F114" s="159"/>
      <c r="G114" s="159"/>
      <c r="H114" s="160"/>
      <c r="I114" s="199">
        <f>'RESUMO - INSUMOS DIVERSOS'!D10</f>
        <v>166.44166666666666</v>
      </c>
      <c r="J114" s="177"/>
      <c r="K114" s="41"/>
      <c r="L114" s="9"/>
      <c r="M114" s="89" t="s">
        <v>193</v>
      </c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5" customHeight="1">
      <c r="A115" s="1"/>
      <c r="B115" s="36" t="s">
        <v>24</v>
      </c>
      <c r="C115" s="207" t="s">
        <v>194</v>
      </c>
      <c r="D115" s="159"/>
      <c r="E115" s="159"/>
      <c r="F115" s="159"/>
      <c r="G115" s="159"/>
      <c r="H115" s="160"/>
      <c r="I115" s="199">
        <f>'RESUMO - INSUMOS DIVERSOS'!E10</f>
        <v>271.46750000000003</v>
      </c>
      <c r="J115" s="177"/>
      <c r="K115" s="41"/>
      <c r="L115" s="35"/>
      <c r="M115" s="89" t="s">
        <v>193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5" customHeight="1">
      <c r="A116" s="1"/>
      <c r="B116" s="36" t="s">
        <v>28</v>
      </c>
      <c r="C116" s="207" t="s">
        <v>195</v>
      </c>
      <c r="D116" s="159"/>
      <c r="E116" s="159"/>
      <c r="F116" s="159"/>
      <c r="G116" s="159"/>
      <c r="H116" s="160"/>
      <c r="I116" s="199">
        <f>'RESUMO - INSUMOS DIVERSOS'!F10</f>
        <v>2.5352063492063492</v>
      </c>
      <c r="J116" s="177"/>
      <c r="K116" s="41"/>
      <c r="L116" s="9"/>
      <c r="M116" s="89" t="s">
        <v>193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5" customHeight="1">
      <c r="A117" s="1"/>
      <c r="B117" s="36" t="s">
        <v>32</v>
      </c>
      <c r="C117" s="207" t="s">
        <v>196</v>
      </c>
      <c r="D117" s="159"/>
      <c r="E117" s="159"/>
      <c r="F117" s="159"/>
      <c r="G117" s="159"/>
      <c r="H117" s="160"/>
      <c r="I117" s="199">
        <v>0</v>
      </c>
      <c r="J117" s="177"/>
      <c r="K117" s="41"/>
      <c r="L117" s="9"/>
      <c r="M117" s="89" t="s">
        <v>193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5" customHeight="1">
      <c r="A118" s="1"/>
      <c r="B118" s="204" t="s">
        <v>118</v>
      </c>
      <c r="C118" s="159"/>
      <c r="D118" s="159"/>
      <c r="E118" s="159"/>
      <c r="F118" s="159"/>
      <c r="G118" s="159"/>
      <c r="H118" s="160"/>
      <c r="I118" s="205">
        <f>SUM(I114:J117)</f>
        <v>440.44437301587305</v>
      </c>
      <c r="J118" s="177"/>
      <c r="K118" s="90"/>
      <c r="L118" s="9"/>
      <c r="M118" s="91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5" customHeight="1">
      <c r="A119" s="92"/>
      <c r="B119" s="251"/>
      <c r="C119" s="169"/>
      <c r="D119" s="169"/>
      <c r="E119" s="169"/>
      <c r="F119" s="169"/>
      <c r="G119" s="169"/>
      <c r="H119" s="169"/>
      <c r="I119" s="169"/>
      <c r="J119" s="170"/>
      <c r="K119" s="93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</row>
    <row r="120" spans="1:34" ht="15" customHeight="1">
      <c r="A120" s="92"/>
      <c r="B120" s="193" t="s">
        <v>197</v>
      </c>
      <c r="C120" s="159"/>
      <c r="D120" s="159"/>
      <c r="E120" s="159"/>
      <c r="F120" s="159"/>
      <c r="G120" s="159"/>
      <c r="H120" s="159"/>
      <c r="I120" s="159"/>
      <c r="J120" s="177"/>
      <c r="K120" s="94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</row>
    <row r="121" spans="1:34" ht="15" customHeight="1">
      <c r="A121" s="92"/>
      <c r="B121" s="32">
        <v>6</v>
      </c>
      <c r="C121" s="194" t="s">
        <v>198</v>
      </c>
      <c r="D121" s="159"/>
      <c r="E121" s="159"/>
      <c r="F121" s="159"/>
      <c r="G121" s="159"/>
      <c r="H121" s="160"/>
      <c r="I121" s="49" t="s">
        <v>87</v>
      </c>
      <c r="J121" s="85" t="s">
        <v>63</v>
      </c>
      <c r="K121" s="9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</row>
    <row r="122" spans="1:34" ht="15" customHeight="1">
      <c r="A122" s="92"/>
      <c r="B122" s="36" t="s">
        <v>21</v>
      </c>
      <c r="C122" s="207" t="s">
        <v>199</v>
      </c>
      <c r="D122" s="159"/>
      <c r="E122" s="159"/>
      <c r="F122" s="159"/>
      <c r="G122" s="159"/>
      <c r="H122" s="160"/>
      <c r="I122" s="96">
        <v>0.03</v>
      </c>
      <c r="J122" s="64">
        <f>I139*I122</f>
        <v>91.192449896804675</v>
      </c>
      <c r="K122" s="44"/>
      <c r="L122" s="35"/>
      <c r="M122" s="13" t="s">
        <v>200</v>
      </c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15" customHeight="1">
      <c r="A123" s="92"/>
      <c r="B123" s="36" t="s">
        <v>24</v>
      </c>
      <c r="C123" s="207" t="s">
        <v>201</v>
      </c>
      <c r="D123" s="159"/>
      <c r="E123" s="159"/>
      <c r="F123" s="159"/>
      <c r="G123" s="159"/>
      <c r="H123" s="160"/>
      <c r="I123" s="96">
        <v>6.7900000000000002E-2</v>
      </c>
      <c r="J123" s="64">
        <f>(J122+I139)*I123</f>
        <v>212.59087894776098</v>
      </c>
      <c r="K123" s="44"/>
      <c r="L123" s="35"/>
      <c r="M123" s="13" t="s">
        <v>202</v>
      </c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15" customHeight="1">
      <c r="A124" s="92"/>
      <c r="B124" s="36" t="s">
        <v>28</v>
      </c>
      <c r="C124" s="207" t="s">
        <v>203</v>
      </c>
      <c r="D124" s="159"/>
      <c r="E124" s="159"/>
      <c r="F124" s="159"/>
      <c r="G124" s="159"/>
      <c r="H124" s="160"/>
      <c r="I124" s="54">
        <f>SUM(I125:I128)</f>
        <v>8.6499999999999994E-2</v>
      </c>
      <c r="J124" s="64"/>
      <c r="K124" s="44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15" customHeight="1">
      <c r="A125" s="1"/>
      <c r="B125" s="250" t="s">
        <v>204</v>
      </c>
      <c r="C125" s="160"/>
      <c r="D125" s="252" t="s">
        <v>205</v>
      </c>
      <c r="E125" s="37" t="s">
        <v>206</v>
      </c>
      <c r="F125" s="38"/>
      <c r="G125" s="38"/>
      <c r="H125" s="97"/>
      <c r="I125" s="54">
        <v>6.4999999999999997E-3</v>
      </c>
      <c r="J125" s="64">
        <f>((I139+J122+J123)/(1-(I124)))*I125</f>
        <v>23.790865661518726</v>
      </c>
      <c r="K125" s="44"/>
      <c r="L125" s="35"/>
      <c r="M125" s="98" t="s">
        <v>207</v>
      </c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</row>
    <row r="126" spans="1:34" ht="15" customHeight="1">
      <c r="A126" s="1"/>
      <c r="B126" s="250" t="s">
        <v>208</v>
      </c>
      <c r="C126" s="160"/>
      <c r="D126" s="215"/>
      <c r="E126" s="37" t="s">
        <v>209</v>
      </c>
      <c r="F126" s="38"/>
      <c r="G126" s="38"/>
      <c r="H126" s="97"/>
      <c r="I126" s="99">
        <v>0.03</v>
      </c>
      <c r="J126" s="64">
        <f>((I139+J122+J123)/(1-(I124)))*I126</f>
        <v>109.80399536085565</v>
      </c>
      <c r="K126" s="44"/>
      <c r="L126" s="35"/>
      <c r="M126" s="98" t="s">
        <v>210</v>
      </c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</row>
    <row r="127" spans="1:34" ht="15" customHeight="1">
      <c r="A127" s="1"/>
      <c r="B127" s="250" t="s">
        <v>211</v>
      </c>
      <c r="C127" s="160"/>
      <c r="D127" s="100" t="s">
        <v>212</v>
      </c>
      <c r="E127" s="37" t="s">
        <v>213</v>
      </c>
      <c r="F127" s="38"/>
      <c r="G127" s="38"/>
      <c r="H127" s="97"/>
      <c r="I127" s="54">
        <v>0.05</v>
      </c>
      <c r="J127" s="64">
        <f>((I139+J122+J123)/(1-(I124)))*I127</f>
        <v>183.00665893475946</v>
      </c>
      <c r="K127" s="44"/>
      <c r="L127" s="35"/>
      <c r="M127" s="98" t="s">
        <v>214</v>
      </c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</row>
    <row r="128" spans="1:34" ht="15" customHeight="1">
      <c r="A128" s="1"/>
      <c r="B128" s="250" t="s">
        <v>215</v>
      </c>
      <c r="C128" s="160"/>
      <c r="D128" s="100" t="s">
        <v>216</v>
      </c>
      <c r="E128" s="37"/>
      <c r="F128" s="38"/>
      <c r="G128" s="38"/>
      <c r="H128" s="97"/>
      <c r="I128" s="54">
        <v>0</v>
      </c>
      <c r="J128" s="64">
        <f>((I139+J122+J123)/(1-(I124)))*I128</f>
        <v>0</v>
      </c>
      <c r="K128" s="44"/>
      <c r="L128" s="35"/>
      <c r="M128" s="98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</row>
    <row r="129" spans="1:34" ht="15" customHeight="1">
      <c r="A129" s="1"/>
      <c r="B129" s="204" t="s">
        <v>118</v>
      </c>
      <c r="C129" s="159"/>
      <c r="D129" s="159"/>
      <c r="E129" s="159"/>
      <c r="F129" s="159"/>
      <c r="G129" s="159"/>
      <c r="H129" s="160"/>
      <c r="I129" s="101"/>
      <c r="J129" s="67">
        <f>SUM(J122:J128)</f>
        <v>620.38484880169949</v>
      </c>
      <c r="K129" s="102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</row>
    <row r="130" spans="1:34" ht="15" customHeight="1">
      <c r="A130" s="1"/>
      <c r="B130" s="229"/>
      <c r="C130" s="191"/>
      <c r="D130" s="191"/>
      <c r="E130" s="191"/>
      <c r="F130" s="191"/>
      <c r="G130" s="191"/>
      <c r="H130" s="191"/>
      <c r="I130" s="191"/>
      <c r="J130" s="192"/>
      <c r="K130" s="103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</row>
    <row r="131" spans="1:34" ht="15" customHeight="1">
      <c r="A131" s="1"/>
      <c r="B131" s="230" t="s">
        <v>217</v>
      </c>
      <c r="C131" s="169"/>
      <c r="D131" s="169"/>
      <c r="E131" s="169"/>
      <c r="F131" s="169"/>
      <c r="G131" s="169"/>
      <c r="H131" s="169"/>
      <c r="I131" s="169"/>
      <c r="J131" s="170"/>
      <c r="K131" s="104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</row>
    <row r="132" spans="1:34" ht="15" customHeight="1">
      <c r="A132" s="1"/>
      <c r="B132" s="231"/>
      <c r="C132" s="173"/>
      <c r="D132" s="173"/>
      <c r="E132" s="173"/>
      <c r="F132" s="173"/>
      <c r="G132" s="173"/>
      <c r="H132" s="173"/>
      <c r="I132" s="173"/>
      <c r="J132" s="226"/>
      <c r="K132" s="103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ht="15" customHeight="1">
      <c r="A133" s="1"/>
      <c r="B133" s="186" t="s">
        <v>218</v>
      </c>
      <c r="C133" s="159"/>
      <c r="D133" s="159"/>
      <c r="E133" s="159"/>
      <c r="F133" s="159"/>
      <c r="G133" s="159"/>
      <c r="H133" s="160"/>
      <c r="I133" s="232" t="s">
        <v>63</v>
      </c>
      <c r="J133" s="177"/>
      <c r="K133" s="10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</row>
    <row r="134" spans="1:34" ht="15" customHeight="1">
      <c r="A134" s="1"/>
      <c r="B134" s="36" t="s">
        <v>21</v>
      </c>
      <c r="C134" s="207" t="s">
        <v>219</v>
      </c>
      <c r="D134" s="159"/>
      <c r="E134" s="159"/>
      <c r="F134" s="159"/>
      <c r="G134" s="159"/>
      <c r="H134" s="160"/>
      <c r="I134" s="197">
        <f>I38</f>
        <v>1260.43</v>
      </c>
      <c r="J134" s="177"/>
      <c r="K134" s="44"/>
      <c r="L134" s="35"/>
      <c r="M134" s="13" t="s">
        <v>220</v>
      </c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15" customHeight="1">
      <c r="A135" s="1"/>
      <c r="B135" s="36" t="s">
        <v>24</v>
      </c>
      <c r="C135" s="207" t="s">
        <v>221</v>
      </c>
      <c r="D135" s="159"/>
      <c r="E135" s="159"/>
      <c r="F135" s="159"/>
      <c r="G135" s="159"/>
      <c r="H135" s="160"/>
      <c r="I135" s="197">
        <f>I77</f>
        <v>1195.3279170400001</v>
      </c>
      <c r="J135" s="177"/>
      <c r="K135" s="44"/>
      <c r="L135" s="35"/>
      <c r="M135" s="13" t="s">
        <v>222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15" customHeight="1">
      <c r="A136" s="1"/>
      <c r="B136" s="36" t="s">
        <v>28</v>
      </c>
      <c r="C136" s="207" t="s">
        <v>223</v>
      </c>
      <c r="D136" s="159"/>
      <c r="E136" s="159"/>
      <c r="F136" s="159"/>
      <c r="G136" s="159"/>
      <c r="H136" s="160"/>
      <c r="I136" s="197">
        <f>I87</f>
        <v>71.767317334258394</v>
      </c>
      <c r="J136" s="177"/>
      <c r="K136" s="44"/>
      <c r="L136" s="35"/>
      <c r="M136" s="13" t="s">
        <v>224</v>
      </c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</row>
    <row r="137" spans="1:34" ht="15" customHeight="1">
      <c r="A137" s="1"/>
      <c r="B137" s="36" t="s">
        <v>32</v>
      </c>
      <c r="C137" s="207" t="s">
        <v>225</v>
      </c>
      <c r="D137" s="159"/>
      <c r="E137" s="159"/>
      <c r="F137" s="159"/>
      <c r="G137" s="159"/>
      <c r="H137" s="160"/>
      <c r="I137" s="197">
        <f>I110</f>
        <v>71.778722503357471</v>
      </c>
      <c r="J137" s="177"/>
      <c r="K137" s="44"/>
      <c r="L137" s="35"/>
      <c r="M137" s="13" t="s">
        <v>226</v>
      </c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</row>
    <row r="138" spans="1:34" ht="15" customHeight="1">
      <c r="A138" s="1"/>
      <c r="B138" s="36" t="s">
        <v>74</v>
      </c>
      <c r="C138" s="207" t="s">
        <v>227</v>
      </c>
      <c r="D138" s="159"/>
      <c r="E138" s="159"/>
      <c r="F138" s="159"/>
      <c r="G138" s="159"/>
      <c r="H138" s="160"/>
      <c r="I138" s="197">
        <f>I118</f>
        <v>440.44437301587305</v>
      </c>
      <c r="J138" s="177"/>
      <c r="K138" s="44"/>
      <c r="L138" s="35"/>
      <c r="M138" s="13" t="s">
        <v>228</v>
      </c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</row>
    <row r="139" spans="1:34" ht="15" customHeight="1">
      <c r="A139" s="1"/>
      <c r="B139" s="204" t="s">
        <v>229</v>
      </c>
      <c r="C139" s="159"/>
      <c r="D139" s="159"/>
      <c r="E139" s="159"/>
      <c r="F139" s="159"/>
      <c r="G139" s="159"/>
      <c r="H139" s="160"/>
      <c r="I139" s="205">
        <f>SUM(I134:J138)</f>
        <v>3039.7483298934894</v>
      </c>
      <c r="J139" s="177"/>
      <c r="K139" s="102"/>
      <c r="L139" s="35"/>
      <c r="M139" s="13" t="s">
        <v>142</v>
      </c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</row>
    <row r="140" spans="1:34" ht="15" customHeight="1">
      <c r="A140" s="1"/>
      <c r="B140" s="36" t="s">
        <v>77</v>
      </c>
      <c r="C140" s="207" t="s">
        <v>230</v>
      </c>
      <c r="D140" s="159"/>
      <c r="E140" s="159"/>
      <c r="F140" s="159"/>
      <c r="G140" s="159"/>
      <c r="H140" s="160"/>
      <c r="I140" s="197">
        <f>J129</f>
        <v>620.38484880169949</v>
      </c>
      <c r="J140" s="177"/>
      <c r="K140" s="44"/>
      <c r="L140" s="35"/>
      <c r="M140" s="13" t="s">
        <v>231</v>
      </c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</row>
    <row r="141" spans="1:34" ht="15" customHeight="1">
      <c r="A141" s="1"/>
      <c r="B141" s="235" t="s">
        <v>232</v>
      </c>
      <c r="C141" s="236"/>
      <c r="D141" s="236"/>
      <c r="E141" s="236"/>
      <c r="F141" s="236"/>
      <c r="G141" s="236"/>
      <c r="H141" s="237"/>
      <c r="I141" s="233">
        <f>I139+I140</f>
        <v>3660.1331786951887</v>
      </c>
      <c r="J141" s="234"/>
      <c r="K141" s="102"/>
      <c r="L141" s="35"/>
      <c r="M141" s="13" t="s">
        <v>233</v>
      </c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</row>
    <row r="142" spans="1:34" ht="15" customHeight="1">
      <c r="A142" s="1"/>
      <c r="B142" s="238"/>
      <c r="C142" s="173"/>
      <c r="D142" s="173"/>
      <c r="E142" s="173"/>
      <c r="F142" s="173"/>
      <c r="G142" s="173"/>
      <c r="H142" s="173"/>
      <c r="I142" s="173"/>
      <c r="J142" s="173"/>
      <c r="K142" s="103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</row>
    <row r="143" spans="1:34" ht="15" customHeight="1">
      <c r="A143" s="1"/>
      <c r="B143" s="239" t="s">
        <v>234</v>
      </c>
      <c r="C143" s="169"/>
      <c r="D143" s="169"/>
      <c r="E143" s="169"/>
      <c r="F143" s="169"/>
      <c r="G143" s="169"/>
      <c r="H143" s="169"/>
      <c r="I143" s="169"/>
      <c r="J143" s="169"/>
      <c r="K143" s="104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ht="15" customHeight="1">
      <c r="A144" s="1"/>
      <c r="B144" s="106"/>
      <c r="C144" s="35"/>
      <c r="D144" s="35"/>
      <c r="E144" s="35"/>
      <c r="F144" s="35"/>
      <c r="G144" s="35"/>
      <c r="H144" s="35"/>
      <c r="I144" s="35"/>
      <c r="J144" s="35"/>
      <c r="K144" s="103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</row>
    <row r="145" spans="1:34" ht="12.75" customHeight="1">
      <c r="A145" s="1"/>
      <c r="B145" s="161" t="s">
        <v>235</v>
      </c>
      <c r="C145" s="160"/>
      <c r="D145" s="107" t="s">
        <v>236</v>
      </c>
      <c r="E145" s="107" t="s">
        <v>237</v>
      </c>
      <c r="F145" s="240" t="s">
        <v>238</v>
      </c>
      <c r="G145" s="160"/>
      <c r="H145" s="107" t="s">
        <v>239</v>
      </c>
      <c r="I145" s="240" t="s">
        <v>240</v>
      </c>
      <c r="J145" s="160"/>
      <c r="K145" s="103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1:34" ht="15" customHeight="1">
      <c r="A146" s="1"/>
      <c r="B146" s="178" t="str">
        <f>I23</f>
        <v>Limpeza e Conservação</v>
      </c>
      <c r="C146" s="160"/>
      <c r="D146" s="108">
        <f>I141</f>
        <v>3660.1331786951887</v>
      </c>
      <c r="E146" s="39">
        <v>1</v>
      </c>
      <c r="F146" s="241">
        <f>D146*E146</f>
        <v>3660.1331786951887</v>
      </c>
      <c r="G146" s="160"/>
      <c r="H146" s="60">
        <f>I16</f>
        <v>1</v>
      </c>
      <c r="I146" s="242">
        <f>F146*H146</f>
        <v>3660.1331786951887</v>
      </c>
      <c r="J146" s="160"/>
      <c r="K146" s="44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1:34" ht="15" customHeight="1">
      <c r="A147" s="1"/>
      <c r="B147" s="243" t="s">
        <v>241</v>
      </c>
      <c r="C147" s="159"/>
      <c r="D147" s="159"/>
      <c r="E147" s="159"/>
      <c r="F147" s="159"/>
      <c r="G147" s="159"/>
      <c r="H147" s="160"/>
      <c r="I147" s="244">
        <f>I146</f>
        <v>3660.1331786951887</v>
      </c>
      <c r="J147" s="160"/>
      <c r="K147" s="109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</row>
    <row r="148" spans="1:34" ht="15" customHeight="1">
      <c r="A148" s="1"/>
      <c r="B148" s="245" t="s">
        <v>242</v>
      </c>
      <c r="C148" s="159"/>
      <c r="D148" s="159"/>
      <c r="E148" s="159"/>
      <c r="F148" s="159"/>
      <c r="G148" s="159"/>
      <c r="H148" s="160"/>
      <c r="I148" s="244"/>
      <c r="J148" s="160"/>
      <c r="K148" s="109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</row>
    <row r="149" spans="1:34" ht="15" customHeight="1">
      <c r="A149" s="1"/>
      <c r="B149" s="246" t="s">
        <v>243</v>
      </c>
      <c r="C149" s="159"/>
      <c r="D149" s="159"/>
      <c r="E149" s="159"/>
      <c r="F149" s="159"/>
      <c r="G149" s="159"/>
      <c r="H149" s="160"/>
      <c r="I149" s="244">
        <f>I147+I148</f>
        <v>3660.1331786951887</v>
      </c>
      <c r="J149" s="160"/>
      <c r="K149" s="109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</row>
    <row r="150" spans="1:34" ht="15" customHeight="1">
      <c r="A150" s="1"/>
      <c r="B150" s="110"/>
      <c r="C150" s="13"/>
      <c r="D150" s="111"/>
      <c r="E150" s="35"/>
      <c r="F150" s="35"/>
      <c r="G150" s="35"/>
      <c r="H150" s="35"/>
      <c r="I150" s="35"/>
      <c r="J150" s="35"/>
      <c r="K150" s="109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</row>
    <row r="151" spans="1:34" ht="15" customHeight="1">
      <c r="A151" s="1"/>
      <c r="B151" s="239" t="s">
        <v>244</v>
      </c>
      <c r="C151" s="169"/>
      <c r="D151" s="169"/>
      <c r="E151" s="169"/>
      <c r="F151" s="169"/>
      <c r="G151" s="169"/>
      <c r="H151" s="169"/>
      <c r="I151" s="169"/>
      <c r="J151" s="169"/>
      <c r="K151" s="44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</row>
    <row r="152" spans="1:34" ht="15" customHeight="1">
      <c r="A152" s="1"/>
      <c r="B152" s="106"/>
      <c r="C152" s="35"/>
      <c r="D152" s="35"/>
      <c r="E152" s="35"/>
      <c r="F152" s="35"/>
      <c r="G152" s="35"/>
      <c r="H152" s="35"/>
      <c r="I152" s="35"/>
      <c r="J152" s="35"/>
      <c r="K152" s="109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</row>
    <row r="153" spans="1:34" ht="15" customHeight="1">
      <c r="A153" s="1"/>
      <c r="B153" s="247" t="s">
        <v>245</v>
      </c>
      <c r="C153" s="159"/>
      <c r="D153" s="159"/>
      <c r="E153" s="159"/>
      <c r="F153" s="159"/>
      <c r="G153" s="159"/>
      <c r="H153" s="159"/>
      <c r="I153" s="159"/>
      <c r="J153" s="160"/>
      <c r="K153" s="102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</row>
    <row r="154" spans="1:34" ht="15" customHeight="1">
      <c r="A154" s="1"/>
      <c r="B154" s="248" t="s">
        <v>246</v>
      </c>
      <c r="C154" s="159"/>
      <c r="D154" s="159"/>
      <c r="E154" s="159"/>
      <c r="F154" s="159"/>
      <c r="G154" s="159"/>
      <c r="H154" s="160"/>
      <c r="I154" s="249" t="s">
        <v>247</v>
      </c>
      <c r="J154" s="160"/>
      <c r="K154" s="103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</row>
    <row r="155" spans="1:34" ht="15" customHeight="1">
      <c r="A155" s="1"/>
      <c r="B155" s="201" t="s">
        <v>248</v>
      </c>
      <c r="C155" s="159"/>
      <c r="D155" s="159"/>
      <c r="E155" s="159"/>
      <c r="F155" s="159"/>
      <c r="G155" s="159"/>
      <c r="H155" s="160"/>
      <c r="I155" s="241">
        <f>I149</f>
        <v>3660.1331786951887</v>
      </c>
      <c r="J155" s="160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</row>
    <row r="156" spans="1:34" ht="15" customHeight="1">
      <c r="A156" s="1"/>
      <c r="B156" s="201" t="s">
        <v>249</v>
      </c>
      <c r="C156" s="159"/>
      <c r="D156" s="159"/>
      <c r="E156" s="159"/>
      <c r="F156" s="159"/>
      <c r="G156" s="159"/>
      <c r="H156" s="160"/>
      <c r="I156" s="253">
        <f>H12</f>
        <v>12</v>
      </c>
      <c r="J156" s="254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</row>
    <row r="157" spans="1:34" ht="15" customHeight="1">
      <c r="A157" s="1"/>
      <c r="B157" s="255" t="s">
        <v>250</v>
      </c>
      <c r="C157" s="159"/>
      <c r="D157" s="159"/>
      <c r="E157" s="159"/>
      <c r="F157" s="159"/>
      <c r="G157" s="159"/>
      <c r="H157" s="159"/>
      <c r="I157" s="256">
        <f>I155*I156</f>
        <v>43921.598144342264</v>
      </c>
      <c r="J157" s="210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</row>
    <row r="158" spans="1:34" ht="12.75" customHeight="1">
      <c r="A158" s="1"/>
      <c r="B158" s="10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1"/>
      <c r="B159" s="10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1"/>
      <c r="B160" s="10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1"/>
      <c r="B161" s="10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1"/>
      <c r="B162" s="10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1"/>
      <c r="B163" s="10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1"/>
      <c r="B164" s="10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1"/>
      <c r="B165" s="10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1"/>
      <c r="B166" s="10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1"/>
      <c r="B167" s="10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1"/>
      <c r="B168" s="10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1"/>
      <c r="B169" s="10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1"/>
      <c r="B170" s="10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1"/>
      <c r="B171" s="10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1"/>
      <c r="B172" s="10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1"/>
      <c r="B173" s="10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1"/>
      <c r="B174" s="10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1"/>
      <c r="B175" s="10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1"/>
      <c r="B176" s="10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1"/>
      <c r="B177" s="10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1"/>
      <c r="B178" s="10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1"/>
      <c r="B179" s="10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1"/>
      <c r="B180" s="10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1"/>
      <c r="B181" s="10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1"/>
      <c r="B182" s="10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1"/>
      <c r="B183" s="10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1"/>
      <c r="B184" s="10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1"/>
      <c r="B185" s="10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1"/>
      <c r="B186" s="10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1"/>
      <c r="B187" s="10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1"/>
      <c r="B188" s="10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1"/>
      <c r="B189" s="10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1"/>
      <c r="B190" s="10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1"/>
      <c r="B191" s="10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1"/>
      <c r="B192" s="10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1"/>
      <c r="B193" s="10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1"/>
      <c r="B194" s="10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1"/>
      <c r="B195" s="10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1"/>
      <c r="B196" s="10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1"/>
      <c r="B197" s="10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1"/>
      <c r="B198" s="10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1"/>
      <c r="B199" s="10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1"/>
      <c r="B200" s="10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1"/>
      <c r="B201" s="10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1"/>
      <c r="B202" s="10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1"/>
      <c r="B203" s="10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1"/>
      <c r="B204" s="10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1"/>
      <c r="B205" s="10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1"/>
      <c r="B206" s="10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1"/>
      <c r="B207" s="10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1"/>
      <c r="B208" s="10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1"/>
      <c r="B209" s="10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1"/>
      <c r="B210" s="10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1"/>
      <c r="B211" s="10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1"/>
      <c r="B212" s="10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1"/>
      <c r="B213" s="10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1"/>
      <c r="B214" s="10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1"/>
      <c r="B215" s="10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1"/>
      <c r="B216" s="10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1"/>
      <c r="B217" s="10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1"/>
      <c r="B218" s="10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1"/>
      <c r="B219" s="10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1"/>
      <c r="B220" s="10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1"/>
      <c r="B221" s="10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1"/>
      <c r="B222" s="10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1"/>
      <c r="B223" s="10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1"/>
      <c r="B224" s="10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1"/>
      <c r="B225" s="10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1"/>
      <c r="B226" s="10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1"/>
      <c r="B227" s="10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1"/>
      <c r="B228" s="10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1"/>
      <c r="B229" s="10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1"/>
      <c r="B230" s="10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1"/>
      <c r="B231" s="10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1"/>
      <c r="B232" s="10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1"/>
      <c r="B233" s="10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1"/>
      <c r="B234" s="10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1"/>
      <c r="B235" s="10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1"/>
      <c r="B236" s="10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1"/>
      <c r="B237" s="10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1"/>
      <c r="B238" s="10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1"/>
      <c r="B239" s="10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1"/>
      <c r="B240" s="10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1"/>
      <c r="B241" s="10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1"/>
      <c r="B242" s="10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1"/>
      <c r="B243" s="10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1"/>
      <c r="B244" s="10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1"/>
      <c r="B245" s="10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1"/>
      <c r="B246" s="10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1"/>
      <c r="B247" s="10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1"/>
      <c r="B248" s="10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1"/>
      <c r="B249" s="10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1"/>
      <c r="B250" s="10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1"/>
      <c r="B251" s="10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1"/>
      <c r="B252" s="10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1"/>
      <c r="B253" s="10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1"/>
      <c r="B254" s="10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1"/>
      <c r="B255" s="10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1"/>
      <c r="B256" s="10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1"/>
      <c r="B257" s="10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1"/>
      <c r="B258" s="10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1"/>
      <c r="B259" s="10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1"/>
      <c r="B260" s="10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1"/>
      <c r="B261" s="10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1"/>
      <c r="B262" s="10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1"/>
      <c r="B263" s="10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1"/>
      <c r="B264" s="10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1"/>
      <c r="B265" s="10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1"/>
      <c r="B266" s="10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1"/>
      <c r="B267" s="10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1"/>
      <c r="B268" s="10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1"/>
      <c r="B269" s="10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1"/>
      <c r="B270" s="10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1"/>
      <c r="B271" s="10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1"/>
      <c r="B272" s="10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1"/>
      <c r="B273" s="10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1"/>
      <c r="B274" s="10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1"/>
      <c r="B275" s="10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1"/>
      <c r="B276" s="10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1"/>
      <c r="B277" s="10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1"/>
      <c r="B278" s="10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1"/>
      <c r="B279" s="10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1"/>
      <c r="B280" s="10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1"/>
      <c r="B281" s="10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1"/>
      <c r="B282" s="10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1"/>
      <c r="B283" s="10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1"/>
      <c r="B284" s="10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1"/>
      <c r="B285" s="10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1"/>
      <c r="B286" s="10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1"/>
      <c r="B287" s="10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1"/>
      <c r="B288" s="10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1"/>
      <c r="B289" s="10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1"/>
      <c r="B290" s="10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1"/>
      <c r="B291" s="10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1"/>
      <c r="B292" s="10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1"/>
      <c r="B293" s="10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1"/>
      <c r="B294" s="10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1"/>
      <c r="B295" s="10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1"/>
      <c r="B296" s="10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1"/>
      <c r="B297" s="10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1"/>
      <c r="B298" s="10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1"/>
      <c r="B299" s="10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1"/>
      <c r="B300" s="10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1"/>
      <c r="B301" s="10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1"/>
      <c r="B302" s="10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1"/>
      <c r="B303" s="10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1"/>
      <c r="B304" s="10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1"/>
      <c r="B305" s="10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1"/>
      <c r="B306" s="10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1"/>
      <c r="B307" s="10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1"/>
      <c r="B308" s="10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1"/>
      <c r="B309" s="10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1"/>
      <c r="B310" s="10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1"/>
      <c r="B311" s="10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1"/>
      <c r="B312" s="10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1"/>
      <c r="B313" s="10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1"/>
      <c r="B314" s="10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1"/>
      <c r="B315" s="10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1"/>
      <c r="B316" s="10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1"/>
      <c r="B317" s="10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1"/>
      <c r="B318" s="10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1"/>
      <c r="B319" s="10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1"/>
      <c r="B320" s="10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1"/>
      <c r="B321" s="10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1"/>
      <c r="B322" s="10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1"/>
      <c r="B323" s="10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1"/>
      <c r="B324" s="10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1"/>
      <c r="B325" s="10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1"/>
      <c r="B326" s="10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1"/>
      <c r="B327" s="10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1"/>
      <c r="B328" s="10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1"/>
      <c r="B329" s="10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1"/>
      <c r="B330" s="10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1"/>
      <c r="B331" s="10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1"/>
      <c r="B332" s="10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1"/>
      <c r="B333" s="10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1"/>
      <c r="B334" s="10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1"/>
      <c r="B335" s="10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1"/>
      <c r="B336" s="10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1"/>
      <c r="B337" s="10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1"/>
      <c r="B338" s="10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1"/>
      <c r="B339" s="10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1"/>
      <c r="B340" s="10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1"/>
      <c r="B341" s="10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1"/>
      <c r="B342" s="10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1"/>
      <c r="B343" s="10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1"/>
      <c r="B344" s="10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1"/>
      <c r="B345" s="10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1"/>
      <c r="B346" s="10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1"/>
      <c r="B347" s="10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1"/>
      <c r="B348" s="10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1"/>
      <c r="B349" s="10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1"/>
      <c r="B350" s="10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1"/>
      <c r="B351" s="10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1"/>
      <c r="B352" s="10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1"/>
      <c r="B353" s="10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1"/>
      <c r="B354" s="10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1"/>
      <c r="B355" s="10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1"/>
      <c r="B356" s="10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1"/>
      <c r="B357" s="10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5.75" customHeight="1"/>
    <row r="359" spans="1:34" ht="15.75" customHeight="1"/>
    <row r="360" spans="1:34" ht="15.75" customHeight="1"/>
    <row r="361" spans="1:34" ht="15.75" customHeight="1"/>
    <row r="362" spans="1:34" ht="15.75" customHeight="1"/>
    <row r="363" spans="1:34" ht="15.75" customHeight="1"/>
    <row r="364" spans="1:34" ht="15.75" customHeight="1"/>
    <row r="365" spans="1:34" ht="15.75" customHeight="1"/>
    <row r="366" spans="1:34" ht="15.75" customHeight="1"/>
    <row r="367" spans="1:34" ht="15.75" customHeight="1"/>
    <row r="368" spans="1:3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5">
    <mergeCell ref="B157:H157"/>
    <mergeCell ref="I157:J157"/>
    <mergeCell ref="B119:J119"/>
    <mergeCell ref="B120:J120"/>
    <mergeCell ref="C121:H121"/>
    <mergeCell ref="C122:H122"/>
    <mergeCell ref="C123:H123"/>
    <mergeCell ref="C124:H124"/>
    <mergeCell ref="D125:D126"/>
    <mergeCell ref="B156:H156"/>
    <mergeCell ref="I156:J156"/>
    <mergeCell ref="B151:J151"/>
    <mergeCell ref="B153:J153"/>
    <mergeCell ref="B154:H154"/>
    <mergeCell ref="I154:J154"/>
    <mergeCell ref="B155:H155"/>
    <mergeCell ref="I155:J155"/>
    <mergeCell ref="C102:H102"/>
    <mergeCell ref="B103:H103"/>
    <mergeCell ref="I103:J103"/>
    <mergeCell ref="B104:J104"/>
    <mergeCell ref="B105:J105"/>
    <mergeCell ref="B106:J106"/>
    <mergeCell ref="I107:J107"/>
    <mergeCell ref="C107:H107"/>
    <mergeCell ref="C108:H108"/>
    <mergeCell ref="I108:J108"/>
    <mergeCell ref="C109:H109"/>
    <mergeCell ref="I109:J109"/>
    <mergeCell ref="B110:H110"/>
    <mergeCell ref="I110:J110"/>
    <mergeCell ref="B111:J111"/>
    <mergeCell ref="B112:J112"/>
    <mergeCell ref="C113:H113"/>
    <mergeCell ref="I113:J113"/>
    <mergeCell ref="B146:C146"/>
    <mergeCell ref="F146:G146"/>
    <mergeCell ref="I145:J145"/>
    <mergeCell ref="I146:J146"/>
    <mergeCell ref="B147:H147"/>
    <mergeCell ref="I147:J147"/>
    <mergeCell ref="B148:H148"/>
    <mergeCell ref="I148:J148"/>
    <mergeCell ref="I149:J149"/>
    <mergeCell ref="B149:H149"/>
    <mergeCell ref="B139:H139"/>
    <mergeCell ref="I139:J139"/>
    <mergeCell ref="C140:H140"/>
    <mergeCell ref="I140:J140"/>
    <mergeCell ref="I141:J141"/>
    <mergeCell ref="B141:H141"/>
    <mergeCell ref="B142:J142"/>
    <mergeCell ref="B143:J143"/>
    <mergeCell ref="B145:C145"/>
    <mergeCell ref="F145:G145"/>
    <mergeCell ref="I134:J134"/>
    <mergeCell ref="C134:H134"/>
    <mergeCell ref="C135:H135"/>
    <mergeCell ref="I135:J135"/>
    <mergeCell ref="C136:H136"/>
    <mergeCell ref="I136:J136"/>
    <mergeCell ref="C137:H137"/>
    <mergeCell ref="I137:J137"/>
    <mergeCell ref="C138:H138"/>
    <mergeCell ref="I138:J138"/>
    <mergeCell ref="B98:H98"/>
    <mergeCell ref="B99:J99"/>
    <mergeCell ref="B100:J100"/>
    <mergeCell ref="C101:H101"/>
    <mergeCell ref="B129:H129"/>
    <mergeCell ref="B130:J130"/>
    <mergeCell ref="B131:J131"/>
    <mergeCell ref="B132:J132"/>
    <mergeCell ref="B133:H133"/>
    <mergeCell ref="I133:J133"/>
    <mergeCell ref="C114:H114"/>
    <mergeCell ref="I114:J114"/>
    <mergeCell ref="I115:J115"/>
    <mergeCell ref="C115:H115"/>
    <mergeCell ref="C116:H116"/>
    <mergeCell ref="I116:J116"/>
    <mergeCell ref="C117:H117"/>
    <mergeCell ref="I117:J117"/>
    <mergeCell ref="B118:H118"/>
    <mergeCell ref="I118:J118"/>
    <mergeCell ref="B125:C125"/>
    <mergeCell ref="B126:C126"/>
    <mergeCell ref="B127:C127"/>
    <mergeCell ref="B128:C128"/>
    <mergeCell ref="B89:J89"/>
    <mergeCell ref="B90:J90"/>
    <mergeCell ref="C91:H91"/>
    <mergeCell ref="C92:H92"/>
    <mergeCell ref="C93:H93"/>
    <mergeCell ref="C94:H94"/>
    <mergeCell ref="C95:H95"/>
    <mergeCell ref="C96:H96"/>
    <mergeCell ref="C97:H97"/>
    <mergeCell ref="C81:H81"/>
    <mergeCell ref="C82:H82"/>
    <mergeCell ref="C83:H83"/>
    <mergeCell ref="C84:H84"/>
    <mergeCell ref="C85:H85"/>
    <mergeCell ref="C86:H86"/>
    <mergeCell ref="B87:H87"/>
    <mergeCell ref="I87:J87"/>
    <mergeCell ref="B88:J88"/>
    <mergeCell ref="C75:H75"/>
    <mergeCell ref="I75:J75"/>
    <mergeCell ref="I76:J76"/>
    <mergeCell ref="C76:H76"/>
    <mergeCell ref="B77:H77"/>
    <mergeCell ref="I77:J77"/>
    <mergeCell ref="B78:J78"/>
    <mergeCell ref="B79:J79"/>
    <mergeCell ref="C80:H80"/>
    <mergeCell ref="B69:H69"/>
    <mergeCell ref="I69:J69"/>
    <mergeCell ref="B70:J70"/>
    <mergeCell ref="B71:J71"/>
    <mergeCell ref="B72:J72"/>
    <mergeCell ref="C73:H73"/>
    <mergeCell ref="I73:J73"/>
    <mergeCell ref="C74:H74"/>
    <mergeCell ref="I74:J74"/>
    <mergeCell ref="B64:B65"/>
    <mergeCell ref="C64:D65"/>
    <mergeCell ref="I64:J65"/>
    <mergeCell ref="C66:H66"/>
    <mergeCell ref="I66:J66"/>
    <mergeCell ref="C67:E67"/>
    <mergeCell ref="I67:J67"/>
    <mergeCell ref="C68:H68"/>
    <mergeCell ref="I68:J68"/>
    <mergeCell ref="B46:H46"/>
    <mergeCell ref="I46:J46"/>
    <mergeCell ref="B47:J47"/>
    <mergeCell ref="B48:J48"/>
    <mergeCell ref="C49:H49"/>
    <mergeCell ref="C50:H50"/>
    <mergeCell ref="C51:H51"/>
    <mergeCell ref="AD62:AE62"/>
    <mergeCell ref="AF62:AG62"/>
    <mergeCell ref="B60:J60"/>
    <mergeCell ref="C61:H61"/>
    <mergeCell ref="I61:J61"/>
    <mergeCell ref="B62:B63"/>
    <mergeCell ref="C62:C63"/>
    <mergeCell ref="I62:J62"/>
    <mergeCell ref="AB62:AC62"/>
    <mergeCell ref="I63:J63"/>
    <mergeCell ref="C53:H53"/>
    <mergeCell ref="C54:H54"/>
    <mergeCell ref="C55:H55"/>
    <mergeCell ref="C56:H56"/>
    <mergeCell ref="C57:H57"/>
    <mergeCell ref="B58:H58"/>
    <mergeCell ref="B59:J59"/>
    <mergeCell ref="O38:P38"/>
    <mergeCell ref="B39:J39"/>
    <mergeCell ref="M44:X44"/>
    <mergeCell ref="M45:X45"/>
    <mergeCell ref="B40:J40"/>
    <mergeCell ref="B41:J41"/>
    <mergeCell ref="C42:H42"/>
    <mergeCell ref="C43:H43"/>
    <mergeCell ref="M43:X43"/>
    <mergeCell ref="C44:H44"/>
    <mergeCell ref="C45:H45"/>
    <mergeCell ref="I34:J34"/>
    <mergeCell ref="I35:J35"/>
    <mergeCell ref="I36:J36"/>
    <mergeCell ref="M36:N36"/>
    <mergeCell ref="M37:N37"/>
    <mergeCell ref="C36:H36"/>
    <mergeCell ref="C37:H37"/>
    <mergeCell ref="I37:J37"/>
    <mergeCell ref="B38:H38"/>
    <mergeCell ref="I38:J38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RESUMO</vt:lpstr>
      <vt:lpstr>AUX. LIMP.</vt:lpstr>
      <vt:lpstr>SERV. LIMP. - EXT.</vt:lpstr>
      <vt:lpstr>AG. LIMP. E DESINF. (I40%)</vt:lpstr>
      <vt:lpstr>AG. COLETA (I40%)</vt:lpstr>
      <vt:lpstr>COPEIRO</vt:lpstr>
      <vt:lpstr>JARDINEIRO</vt:lpstr>
      <vt:lpstr>JARD. PODADOR (P30%)</vt:lpstr>
      <vt:lpstr>LAVADOR DE VEÍCULOS</vt:lpstr>
      <vt:lpstr>OPERADOR DE PÁ E TRATORES</vt:lpstr>
      <vt:lpstr>MOTO. COLETA (I40%)</vt:lpstr>
      <vt:lpstr>SUPERVISOR</vt:lpstr>
      <vt:lpstr>RESUMO - INSUMOS DIVERSOS</vt:lpstr>
      <vt:lpstr>DETALHAMENTO HORAS EXTRAS</vt:lpstr>
      <vt:lpstr>UNIFORMES</vt:lpstr>
      <vt:lpstr>EPI</vt:lpstr>
      <vt:lpstr>FERRAMENTAS E EQUIP</vt:lpstr>
      <vt:lpstr>MATERIAIS A DISPONIBILIZAR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UFERSA</cp:lastModifiedBy>
  <dcterms:created xsi:type="dcterms:W3CDTF">2016-06-22T19:00:36Z</dcterms:created>
  <dcterms:modified xsi:type="dcterms:W3CDTF">2023-02-08T13:08:19Z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UFSC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