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drawings/drawing10.xml" ContentType="application/vnd.openxmlformats-officedocument.drawing+xml"/>
  <Override PartName="/xl/comments10.xml" ContentType="application/vnd.openxmlformats-officedocument.spreadsheetml.comments+xml"/>
  <Override PartName="/xl/drawings/drawing11.xml" ContentType="application/vnd.openxmlformats-officedocument.drawing+xml"/>
  <Override PartName="/xl/comments11.xml" ContentType="application/vnd.openxmlformats-officedocument.spreadsheetml.comments+xml"/>
  <Override PartName="/xl/drawings/drawing12.xml" ContentType="application/vnd.openxmlformats-officedocument.drawing+xml"/>
  <Override PartName="/xl/comments12.xml" ContentType="application/vnd.openxmlformats-officedocument.spreadsheetml.comments+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20460" windowHeight="7455" tabRatio="874" firstSheet="11" activeTab="16"/>
  </bookViews>
  <sheets>
    <sheet name="ENCARREGADO" sheetId="6" state="hidden" r:id="rId1"/>
    <sheet name="ASG ANGICOS" sheetId="28" state="hidden" r:id="rId2"/>
    <sheet name="ALD ANGICOS" sheetId="29" state="hidden" r:id="rId3"/>
    <sheet name="JARDINEIRO ANGICOS" sheetId="30" state="hidden" r:id="rId4"/>
    <sheet name="ENCARREGADO ANGICOS" sheetId="31" state="hidden" r:id="rId5"/>
    <sheet name="COPEIRA ANGICOS" sheetId="32" state="hidden" r:id="rId6"/>
    <sheet name="ASG CARAÚBAS" sheetId="33" state="hidden" r:id="rId7"/>
    <sheet name="ALD CARAÚBAS" sheetId="34" state="hidden" r:id="rId8"/>
    <sheet name="JARDINEIRO CARAÚBAS" sheetId="35" state="hidden" r:id="rId9"/>
    <sheet name="ENCARREGADO CARAÚBAS" sheetId="36" state="hidden" r:id="rId10"/>
    <sheet name="COPEIRA CARAÚBAS" sheetId="37" state="hidden" r:id="rId11"/>
    <sheet name="ASG_ANGICOS" sheetId="38" r:id="rId12"/>
    <sheet name="ALD_ANGICOS" sheetId="39" r:id="rId13"/>
    <sheet name="COPEIRA_ANGICOS" sheetId="42" r:id="rId14"/>
    <sheet name="ENCARREGADO_ANGICOS" sheetId="41" r:id="rId15"/>
    <sheet name="JARDINEIRO_ANGICOS" sheetId="40" r:id="rId16"/>
    <sheet name="RESUMO" sheetId="43" r:id="rId17"/>
  </sheets>
  <definedNames>
    <definedName name="Com_Insalubridade" localSheetId="2">'ALD ANGICOS'!$D$30</definedName>
    <definedName name="Com_Insalubridade" localSheetId="7">'ALD CARAÚBAS'!$D$30</definedName>
    <definedName name="Com_Insalubridade" localSheetId="12">ALD_ANGICOS!$D$30</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7" i="40" l="1"/>
  <c r="H27" i="41"/>
  <c r="H27" i="42"/>
  <c r="H27" i="39"/>
  <c r="H27" i="38"/>
  <c r="E22" i="43" l="1"/>
  <c r="E21" i="43"/>
  <c r="E20" i="43"/>
  <c r="E19" i="43"/>
  <c r="E18" i="43"/>
  <c r="C22" i="43"/>
  <c r="C21" i="43"/>
  <c r="C20" i="43"/>
  <c r="C19" i="43"/>
  <c r="C18" i="43"/>
  <c r="G74" i="42" l="1"/>
  <c r="G43" i="42"/>
  <c r="G74" i="41"/>
  <c r="G43" i="41"/>
  <c r="G74" i="40"/>
  <c r="G43" i="40"/>
  <c r="G73" i="39"/>
  <c r="G42" i="39"/>
  <c r="G73" i="38"/>
  <c r="G42" i="38" l="1"/>
  <c r="G79" i="42" l="1"/>
  <c r="G76" i="42"/>
  <c r="G79" i="41"/>
  <c r="G76" i="41"/>
  <c r="G79" i="40"/>
  <c r="G76" i="40"/>
  <c r="G78" i="39"/>
  <c r="G75" i="39"/>
  <c r="H29" i="39"/>
  <c r="G78" i="38" l="1"/>
  <c r="G75" i="38"/>
  <c r="I73" i="28" l="1"/>
  <c r="F31" i="29" l="1"/>
  <c r="H29" i="29" s="1"/>
  <c r="E10" i="43" l="1"/>
  <c r="E14" i="43"/>
  <c r="E13" i="43"/>
  <c r="E12" i="43"/>
  <c r="E11" i="43"/>
  <c r="E7" i="43"/>
  <c r="E6" i="43"/>
  <c r="E5" i="43"/>
  <c r="E4" i="43"/>
  <c r="E3" i="43"/>
  <c r="G111" i="42" l="1"/>
  <c r="G117" i="42" s="1"/>
  <c r="H107" i="42"/>
  <c r="H123" i="42" s="1"/>
  <c r="G89" i="42"/>
  <c r="G88" i="42"/>
  <c r="G86" i="42"/>
  <c r="G85" i="42"/>
  <c r="G84" i="42"/>
  <c r="G75" i="42"/>
  <c r="H60" i="42"/>
  <c r="H58" i="42"/>
  <c r="H57" i="42"/>
  <c r="G54" i="42"/>
  <c r="G95" i="42" s="1"/>
  <c r="G96" i="42" s="1"/>
  <c r="H38" i="42"/>
  <c r="H43" i="42" s="1"/>
  <c r="G111" i="41"/>
  <c r="G117" i="41" s="1"/>
  <c r="H107" i="41"/>
  <c r="H123" i="41" s="1"/>
  <c r="G89" i="41"/>
  <c r="G88" i="41"/>
  <c r="G86" i="41"/>
  <c r="G85" i="41"/>
  <c r="G84" i="41"/>
  <c r="G75" i="41"/>
  <c r="H60" i="41"/>
  <c r="H58" i="41"/>
  <c r="H57" i="41"/>
  <c r="G54" i="41"/>
  <c r="G95" i="41" s="1"/>
  <c r="G96" i="41" s="1"/>
  <c r="H38" i="41"/>
  <c r="H43" i="41" s="1"/>
  <c r="G111" i="40"/>
  <c r="G117" i="40" s="1"/>
  <c r="H107" i="40"/>
  <c r="H123" i="40" s="1"/>
  <c r="G89" i="40"/>
  <c r="G88" i="40"/>
  <c r="G86" i="40"/>
  <c r="G85" i="40"/>
  <c r="G84" i="40"/>
  <c r="G75" i="40"/>
  <c r="H60" i="40"/>
  <c r="H61" i="40" s="1"/>
  <c r="H62" i="40" s="1"/>
  <c r="H58" i="40"/>
  <c r="H57" i="40"/>
  <c r="G54" i="40"/>
  <c r="G95" i="40" s="1"/>
  <c r="G96" i="40" s="1"/>
  <c r="H38" i="40"/>
  <c r="H43" i="40" s="1"/>
  <c r="G110" i="39"/>
  <c r="G116" i="39" s="1"/>
  <c r="H106" i="39"/>
  <c r="H122" i="39" s="1"/>
  <c r="G88" i="39"/>
  <c r="G87" i="39"/>
  <c r="G85" i="39"/>
  <c r="G84" i="39"/>
  <c r="G83" i="39"/>
  <c r="G74" i="39"/>
  <c r="H59" i="39"/>
  <c r="H60" i="39" s="1"/>
  <c r="H61" i="39" s="1"/>
  <c r="H57" i="39"/>
  <c r="H56" i="39"/>
  <c r="G53" i="39"/>
  <c r="G94" i="39" s="1"/>
  <c r="G95" i="39" s="1"/>
  <c r="H28" i="39"/>
  <c r="G110" i="38"/>
  <c r="G116" i="38" s="1"/>
  <c r="H106" i="38"/>
  <c r="H122" i="38" s="1"/>
  <c r="G88" i="38"/>
  <c r="G85" i="38"/>
  <c r="G84" i="38"/>
  <c r="G83" i="38"/>
  <c r="G74" i="38"/>
  <c r="H59" i="38"/>
  <c r="H57" i="38"/>
  <c r="H56" i="38"/>
  <c r="G53" i="38"/>
  <c r="H29" i="38"/>
  <c r="H28" i="38"/>
  <c r="G111" i="37"/>
  <c r="G117" i="37" s="1"/>
  <c r="H107" i="37"/>
  <c r="H123" i="37" s="1"/>
  <c r="G89" i="37"/>
  <c r="G88" i="37"/>
  <c r="G87" i="37"/>
  <c r="G86" i="37"/>
  <c r="G85" i="37"/>
  <c r="G84" i="37"/>
  <c r="G83" i="37"/>
  <c r="G75" i="37"/>
  <c r="H66" i="37"/>
  <c r="H60" i="37"/>
  <c r="H58" i="37"/>
  <c r="H57" i="37"/>
  <c r="H59" i="37" s="1"/>
  <c r="G54" i="37"/>
  <c r="G95" i="37" s="1"/>
  <c r="G96" i="37" s="1"/>
  <c r="H38" i="37"/>
  <c r="G111" i="36"/>
  <c r="G117" i="36" s="1"/>
  <c r="H107" i="36"/>
  <c r="H123" i="36" s="1"/>
  <c r="G89" i="36"/>
  <c r="G88" i="36"/>
  <c r="G87" i="36"/>
  <c r="G86" i="36"/>
  <c r="G85" i="36"/>
  <c r="G84" i="36"/>
  <c r="G83" i="36"/>
  <c r="G75" i="36"/>
  <c r="H66" i="36"/>
  <c r="H60" i="36"/>
  <c r="H58" i="36"/>
  <c r="H57" i="36"/>
  <c r="H59" i="36" s="1"/>
  <c r="G54" i="36"/>
  <c r="G95" i="36" s="1"/>
  <c r="G96" i="36" s="1"/>
  <c r="H38" i="36"/>
  <c r="G111" i="35"/>
  <c r="G117" i="35" s="1"/>
  <c r="H107" i="35"/>
  <c r="H123" i="35" s="1"/>
  <c r="G89" i="35"/>
  <c r="G88" i="35"/>
  <c r="G87" i="35"/>
  <c r="G86" i="35"/>
  <c r="G85" i="35"/>
  <c r="G84" i="35"/>
  <c r="G83" i="35"/>
  <c r="G75" i="35"/>
  <c r="H66" i="35"/>
  <c r="H60" i="35"/>
  <c r="H58" i="35"/>
  <c r="H57" i="35"/>
  <c r="G54" i="35"/>
  <c r="G95" i="35" s="1"/>
  <c r="H42" i="35"/>
  <c r="H38" i="35"/>
  <c r="H51" i="35" s="1"/>
  <c r="G110" i="34"/>
  <c r="G116" i="34" s="1"/>
  <c r="H106" i="34"/>
  <c r="H122" i="34" s="1"/>
  <c r="G88" i="34"/>
  <c r="G87" i="34"/>
  <c r="G86" i="34"/>
  <c r="G85" i="34"/>
  <c r="G84" i="34"/>
  <c r="G83" i="34"/>
  <c r="G82" i="34"/>
  <c r="G74" i="34"/>
  <c r="H65" i="34"/>
  <c r="H59" i="34"/>
  <c r="H60" i="34" s="1"/>
  <c r="H61" i="34" s="1"/>
  <c r="H57" i="34"/>
  <c r="H56" i="34"/>
  <c r="G53" i="34"/>
  <c r="G94" i="34" s="1"/>
  <c r="G95" i="34" s="1"/>
  <c r="H29" i="34"/>
  <c r="H28" i="34"/>
  <c r="H37" i="34" s="1"/>
  <c r="G110" i="33"/>
  <c r="G116" i="33" s="1"/>
  <c r="H106" i="33"/>
  <c r="H122" i="33" s="1"/>
  <c r="G88" i="33"/>
  <c r="G87" i="33"/>
  <c r="G86" i="33"/>
  <c r="G85" i="33"/>
  <c r="G84" i="33"/>
  <c r="G83" i="33"/>
  <c r="G82" i="33"/>
  <c r="G74" i="33"/>
  <c r="H65" i="33"/>
  <c r="H59" i="33"/>
  <c r="H60" i="33" s="1"/>
  <c r="H57" i="33"/>
  <c r="H56" i="33"/>
  <c r="G53" i="33"/>
  <c r="G94" i="33" s="1"/>
  <c r="G95" i="33" s="1"/>
  <c r="J35" i="33"/>
  <c r="H29" i="33"/>
  <c r="H28" i="33"/>
  <c r="H37" i="33" s="1"/>
  <c r="G111" i="32"/>
  <c r="G117" i="32" s="1"/>
  <c r="H107" i="32"/>
  <c r="H123" i="32" s="1"/>
  <c r="G89" i="32"/>
  <c r="G88" i="32"/>
  <c r="G87" i="32"/>
  <c r="G86" i="32"/>
  <c r="G85" i="32"/>
  <c r="G84" i="32"/>
  <c r="G83" i="32"/>
  <c r="G75" i="32"/>
  <c r="H66" i="32"/>
  <c r="H60" i="32"/>
  <c r="H61" i="32" s="1"/>
  <c r="H62" i="32" s="1"/>
  <c r="H58" i="32"/>
  <c r="H57" i="32"/>
  <c r="G54" i="32"/>
  <c r="G78" i="32" s="1"/>
  <c r="H46" i="32"/>
  <c r="H38" i="32"/>
  <c r="H51" i="32" s="1"/>
  <c r="G111" i="31"/>
  <c r="G117" i="31" s="1"/>
  <c r="H107" i="31"/>
  <c r="H123" i="31" s="1"/>
  <c r="G89" i="31"/>
  <c r="G88" i="31"/>
  <c r="G87" i="31"/>
  <c r="G86" i="31"/>
  <c r="G85" i="31"/>
  <c r="G84" i="31"/>
  <c r="G83" i="31"/>
  <c r="G75" i="31"/>
  <c r="H66" i="31"/>
  <c r="H60" i="31"/>
  <c r="H58" i="31"/>
  <c r="H57" i="31"/>
  <c r="G54" i="31"/>
  <c r="G95" i="31" s="1"/>
  <c r="G96" i="31" s="1"/>
  <c r="H38" i="31"/>
  <c r="H47" i="31" s="1"/>
  <c r="G111" i="30"/>
  <c r="G117" i="30" s="1"/>
  <c r="H107" i="30"/>
  <c r="H123" i="30" s="1"/>
  <c r="G89" i="30"/>
  <c r="G88" i="30"/>
  <c r="G87" i="30"/>
  <c r="G86" i="30"/>
  <c r="G85" i="30"/>
  <c r="G84" i="30"/>
  <c r="G83" i="30"/>
  <c r="G75" i="30"/>
  <c r="H66" i="30"/>
  <c r="H60" i="30"/>
  <c r="H61" i="30" s="1"/>
  <c r="H62" i="30" s="1"/>
  <c r="H58" i="30"/>
  <c r="H57" i="30"/>
  <c r="G54" i="30"/>
  <c r="G95" i="30" s="1"/>
  <c r="G96" i="30" s="1"/>
  <c r="H38" i="30"/>
  <c r="H46" i="30" s="1"/>
  <c r="G110" i="29"/>
  <c r="G116" i="29" s="1"/>
  <c r="H106" i="29"/>
  <c r="H122" i="29" s="1"/>
  <c r="G88" i="29"/>
  <c r="G87" i="29"/>
  <c r="G86" i="29"/>
  <c r="G85" i="29"/>
  <c r="G84" i="29"/>
  <c r="G83" i="29"/>
  <c r="G82" i="29"/>
  <c r="G74" i="29"/>
  <c r="H65" i="29"/>
  <c r="H59" i="29"/>
  <c r="H57" i="29"/>
  <c r="H56" i="29"/>
  <c r="G53" i="29"/>
  <c r="G94" i="29" s="1"/>
  <c r="G95" i="29" s="1"/>
  <c r="H28" i="29"/>
  <c r="H37" i="29" s="1"/>
  <c r="G110" i="28"/>
  <c r="G116" i="28" s="1"/>
  <c r="H106" i="28"/>
  <c r="H122" i="28" s="1"/>
  <c r="G88" i="28"/>
  <c r="G87" i="28"/>
  <c r="G86" i="28"/>
  <c r="G85" i="28"/>
  <c r="G84" i="28"/>
  <c r="G83" i="28"/>
  <c r="G82" i="28"/>
  <c r="G74" i="28"/>
  <c r="H59" i="28"/>
  <c r="H57" i="28"/>
  <c r="H56" i="28"/>
  <c r="G53" i="28"/>
  <c r="G42" i="28" s="1"/>
  <c r="J35" i="28"/>
  <c r="H29" i="28"/>
  <c r="H28" i="28"/>
  <c r="H59" i="41" l="1"/>
  <c r="H37" i="38"/>
  <c r="H50" i="38" s="1"/>
  <c r="H87" i="42"/>
  <c r="H59" i="42"/>
  <c r="H87" i="41"/>
  <c r="H87" i="40"/>
  <c r="G94" i="38"/>
  <c r="G95" i="38" s="1"/>
  <c r="G77" i="38"/>
  <c r="G79" i="38" s="1"/>
  <c r="H87" i="32"/>
  <c r="G42" i="33"/>
  <c r="H58" i="34"/>
  <c r="H66" i="34" s="1"/>
  <c r="H59" i="40"/>
  <c r="H67" i="40" s="1"/>
  <c r="H71" i="40" s="1"/>
  <c r="H37" i="28"/>
  <c r="H118" i="28" s="1"/>
  <c r="G90" i="30"/>
  <c r="G91" i="30" s="1"/>
  <c r="G92" i="30" s="1"/>
  <c r="G98" i="30" s="1"/>
  <c r="H58" i="33"/>
  <c r="G42" i="34"/>
  <c r="H41" i="30"/>
  <c r="H53" i="30"/>
  <c r="H47" i="35"/>
  <c r="H58" i="38"/>
  <c r="H41" i="41"/>
  <c r="G94" i="28"/>
  <c r="G95" i="28" s="1"/>
  <c r="G77" i="28"/>
  <c r="H42" i="30"/>
  <c r="H43" i="30" s="1"/>
  <c r="H44" i="30" s="1"/>
  <c r="H69" i="30" s="1"/>
  <c r="H78" i="32"/>
  <c r="H49" i="35"/>
  <c r="H76" i="35"/>
  <c r="H50" i="30"/>
  <c r="G89" i="28"/>
  <c r="G90" i="28" s="1"/>
  <c r="G91" i="28" s="1"/>
  <c r="G97" i="28" s="1"/>
  <c r="G43" i="32"/>
  <c r="H41" i="35"/>
  <c r="H43" i="35" s="1"/>
  <c r="H44" i="35" s="1"/>
  <c r="H69" i="35" s="1"/>
  <c r="G90" i="35"/>
  <c r="H37" i="39"/>
  <c r="H86" i="39" s="1"/>
  <c r="G89" i="39"/>
  <c r="G91" i="39" s="1"/>
  <c r="G97" i="39" s="1"/>
  <c r="H47" i="41"/>
  <c r="H86" i="29"/>
  <c r="H118" i="29"/>
  <c r="H52" i="33"/>
  <c r="H118" i="33"/>
  <c r="H78" i="33"/>
  <c r="H50" i="33"/>
  <c r="H75" i="33"/>
  <c r="H46" i="33"/>
  <c r="G90" i="32"/>
  <c r="G91" i="32" s="1"/>
  <c r="G92" i="32" s="1"/>
  <c r="G98" i="32" s="1"/>
  <c r="H60" i="28"/>
  <c r="H61" i="28" s="1"/>
  <c r="H87" i="31"/>
  <c r="H119" i="31"/>
  <c r="H51" i="31"/>
  <c r="G90" i="31"/>
  <c r="G91" i="31" s="1"/>
  <c r="G92" i="31" s="1"/>
  <c r="G98" i="31" s="1"/>
  <c r="G91" i="35"/>
  <c r="G92" i="35" s="1"/>
  <c r="G98" i="35" s="1"/>
  <c r="G89" i="29"/>
  <c r="G90" i="29" s="1"/>
  <c r="G91" i="29" s="1"/>
  <c r="G97" i="29" s="1"/>
  <c r="H41" i="31"/>
  <c r="H61" i="31"/>
  <c r="H62" i="31" s="1"/>
  <c r="H88" i="32"/>
  <c r="H47" i="32"/>
  <c r="G80" i="32"/>
  <c r="H85" i="32"/>
  <c r="G89" i="34"/>
  <c r="G90" i="34" s="1"/>
  <c r="G91" i="34" s="1"/>
  <c r="G97" i="34" s="1"/>
  <c r="G43" i="35"/>
  <c r="H59" i="35"/>
  <c r="H87" i="36"/>
  <c r="H119" i="36"/>
  <c r="G90" i="36"/>
  <c r="G91" i="36" s="1"/>
  <c r="G92" i="36" s="1"/>
  <c r="G98" i="36" s="1"/>
  <c r="G90" i="40"/>
  <c r="G92" i="40" s="1"/>
  <c r="G98" i="40" s="1"/>
  <c r="G79" i="28"/>
  <c r="H87" i="30"/>
  <c r="H49" i="30"/>
  <c r="G43" i="31"/>
  <c r="H59" i="31"/>
  <c r="H42" i="32"/>
  <c r="H50" i="32"/>
  <c r="H94" i="32"/>
  <c r="H119" i="32"/>
  <c r="G89" i="33"/>
  <c r="G90" i="33" s="1"/>
  <c r="G91" i="33" s="1"/>
  <c r="G97" i="33" s="1"/>
  <c r="H87" i="35"/>
  <c r="H119" i="35"/>
  <c r="H46" i="35"/>
  <c r="H53" i="35"/>
  <c r="G78" i="35"/>
  <c r="G80" i="35" s="1"/>
  <c r="G43" i="36"/>
  <c r="H87" i="37"/>
  <c r="H119" i="37"/>
  <c r="H51" i="41"/>
  <c r="G90" i="41"/>
  <c r="G92" i="41" s="1"/>
  <c r="G98" i="41" s="1"/>
  <c r="H79" i="35"/>
  <c r="G43" i="37"/>
  <c r="G90" i="37"/>
  <c r="G91" i="37" s="1"/>
  <c r="G92" i="37" s="1"/>
  <c r="G98" i="37" s="1"/>
  <c r="G89" i="38"/>
  <c r="G91" i="38" s="1"/>
  <c r="G97" i="38" s="1"/>
  <c r="H58" i="39"/>
  <c r="H66" i="39" s="1"/>
  <c r="H70" i="39" s="1"/>
  <c r="G90" i="42"/>
  <c r="G92" i="42" s="1"/>
  <c r="G98" i="42" s="1"/>
  <c r="H58" i="28"/>
  <c r="H46" i="28"/>
  <c r="H41" i="28"/>
  <c r="H45" i="28"/>
  <c r="H40" i="28"/>
  <c r="G99" i="42"/>
  <c r="H48" i="42"/>
  <c r="H52" i="42"/>
  <c r="H76" i="42"/>
  <c r="H79" i="42"/>
  <c r="H95" i="42"/>
  <c r="H41" i="42"/>
  <c r="H49" i="42"/>
  <c r="H53" i="42"/>
  <c r="H61" i="42"/>
  <c r="H62" i="42" s="1"/>
  <c r="H74" i="42"/>
  <c r="H77" i="42"/>
  <c r="H84" i="42"/>
  <c r="H86" i="42"/>
  <c r="H88" i="42"/>
  <c r="H42" i="42"/>
  <c r="H46" i="42"/>
  <c r="H50" i="42"/>
  <c r="G78" i="42"/>
  <c r="G80" i="42" s="1"/>
  <c r="H94" i="42"/>
  <c r="H119" i="42"/>
  <c r="H47" i="42"/>
  <c r="H51" i="42"/>
  <c r="H75" i="42"/>
  <c r="H85" i="42"/>
  <c r="G99" i="41"/>
  <c r="H48" i="41"/>
  <c r="H52" i="41"/>
  <c r="H76" i="41"/>
  <c r="H79" i="41"/>
  <c r="H95" i="41"/>
  <c r="H49" i="41"/>
  <c r="H53" i="41"/>
  <c r="H61" i="41"/>
  <c r="H62" i="41" s="1"/>
  <c r="H67" i="41" s="1"/>
  <c r="H74" i="41"/>
  <c r="H77" i="41"/>
  <c r="H84" i="41"/>
  <c r="H86" i="41"/>
  <c r="H88" i="41"/>
  <c r="H42" i="41"/>
  <c r="H46" i="41"/>
  <c r="H50" i="41"/>
  <c r="G78" i="41"/>
  <c r="G80" i="41" s="1"/>
  <c r="H94" i="41"/>
  <c r="H119" i="41"/>
  <c r="H75" i="41"/>
  <c r="H85" i="41"/>
  <c r="G99" i="40"/>
  <c r="H47" i="40"/>
  <c r="H51" i="40"/>
  <c r="H76" i="40"/>
  <c r="H79" i="40"/>
  <c r="H95" i="40"/>
  <c r="H48" i="40"/>
  <c r="H52" i="40"/>
  <c r="H74" i="40"/>
  <c r="H77" i="40"/>
  <c r="H84" i="40"/>
  <c r="H86" i="40"/>
  <c r="H88" i="40"/>
  <c r="H41" i="40"/>
  <c r="H49" i="40"/>
  <c r="H53" i="40"/>
  <c r="G78" i="40"/>
  <c r="G80" i="40" s="1"/>
  <c r="H94" i="40"/>
  <c r="H96" i="40" s="1"/>
  <c r="H99" i="40" s="1"/>
  <c r="H119" i="40"/>
  <c r="H42" i="40"/>
  <c r="H46" i="40"/>
  <c r="H50" i="40"/>
  <c r="H75" i="40"/>
  <c r="H85" i="40"/>
  <c r="H46" i="39"/>
  <c r="H41" i="39"/>
  <c r="H73" i="39"/>
  <c r="H75" i="39"/>
  <c r="G98" i="39"/>
  <c r="G77" i="39"/>
  <c r="G79" i="39" s="1"/>
  <c r="G98" i="38"/>
  <c r="H87" i="38"/>
  <c r="H49" i="38"/>
  <c r="H94" i="38"/>
  <c r="H60" i="38"/>
  <c r="H61" i="38" s="1"/>
  <c r="H48" i="38"/>
  <c r="G100" i="37"/>
  <c r="G99" i="37"/>
  <c r="H48" i="37"/>
  <c r="H52" i="37"/>
  <c r="H76" i="37"/>
  <c r="H79" i="37"/>
  <c r="H95" i="37"/>
  <c r="H41" i="37"/>
  <c r="H49" i="37"/>
  <c r="H53" i="37"/>
  <c r="H61" i="37"/>
  <c r="H62" i="37" s="1"/>
  <c r="H67" i="37" s="1"/>
  <c r="H74" i="37"/>
  <c r="H77" i="37"/>
  <c r="H84" i="37"/>
  <c r="H86" i="37"/>
  <c r="H88" i="37"/>
  <c r="H42" i="37"/>
  <c r="H46" i="37"/>
  <c r="H50" i="37"/>
  <c r="G78" i="37"/>
  <c r="G80" i="37" s="1"/>
  <c r="H94" i="37"/>
  <c r="H47" i="37"/>
  <c r="H51" i="37"/>
  <c r="H75" i="37"/>
  <c r="H85" i="37"/>
  <c r="G99" i="36"/>
  <c r="H48" i="36"/>
  <c r="H52" i="36"/>
  <c r="H76" i="36"/>
  <c r="H79" i="36"/>
  <c r="H95" i="36"/>
  <c r="H41" i="36"/>
  <c r="H49" i="36"/>
  <c r="H53" i="36"/>
  <c r="H61" i="36"/>
  <c r="H62" i="36" s="1"/>
  <c r="H67" i="36" s="1"/>
  <c r="H74" i="36"/>
  <c r="H77" i="36"/>
  <c r="H84" i="36"/>
  <c r="H86" i="36"/>
  <c r="H88" i="36"/>
  <c r="H42" i="36"/>
  <c r="H46" i="36"/>
  <c r="H50" i="36"/>
  <c r="G78" i="36"/>
  <c r="G80" i="36" s="1"/>
  <c r="H94" i="36"/>
  <c r="H47" i="36"/>
  <c r="H51" i="36"/>
  <c r="H75" i="36"/>
  <c r="H85" i="36"/>
  <c r="G96" i="35"/>
  <c r="H95" i="35"/>
  <c r="H48" i="35"/>
  <c r="H52" i="35"/>
  <c r="H61" i="35"/>
  <c r="H62" i="35" s="1"/>
  <c r="H74" i="35"/>
  <c r="H77" i="35"/>
  <c r="H84" i="35"/>
  <c r="H86" i="35"/>
  <c r="H88" i="35"/>
  <c r="H94" i="35"/>
  <c r="H50" i="35"/>
  <c r="H75" i="35"/>
  <c r="H85" i="35"/>
  <c r="G99" i="34"/>
  <c r="G98" i="34"/>
  <c r="H86" i="34"/>
  <c r="H84" i="34"/>
  <c r="H74" i="34"/>
  <c r="H50" i="34"/>
  <c r="H46" i="34"/>
  <c r="H118" i="34"/>
  <c r="H93" i="34"/>
  <c r="H49" i="34"/>
  <c r="H45" i="34"/>
  <c r="H41" i="34"/>
  <c r="H87" i="34"/>
  <c r="H85" i="34"/>
  <c r="H83" i="34"/>
  <c r="H76" i="34"/>
  <c r="H73" i="34"/>
  <c r="H52" i="34"/>
  <c r="H48" i="34"/>
  <c r="H40" i="34"/>
  <c r="H42" i="34" s="1"/>
  <c r="H94" i="34"/>
  <c r="H78" i="34"/>
  <c r="H75" i="34"/>
  <c r="H51" i="34"/>
  <c r="H47" i="34"/>
  <c r="H70" i="34"/>
  <c r="G77" i="34"/>
  <c r="H77" i="34" s="1"/>
  <c r="H59" i="32"/>
  <c r="H59" i="30"/>
  <c r="H67" i="30" s="1"/>
  <c r="H71" i="30" s="1"/>
  <c r="H58" i="29"/>
  <c r="G98" i="33"/>
  <c r="H61" i="33"/>
  <c r="H66" i="33" s="1"/>
  <c r="H85" i="33"/>
  <c r="H41" i="33"/>
  <c r="H45" i="33"/>
  <c r="H49" i="33"/>
  <c r="H74" i="33"/>
  <c r="H84" i="33"/>
  <c r="H86" i="33"/>
  <c r="H94" i="33"/>
  <c r="H47" i="33"/>
  <c r="H51" i="33"/>
  <c r="H73" i="33"/>
  <c r="H76" i="33"/>
  <c r="H83" i="33"/>
  <c r="H87" i="33"/>
  <c r="H93" i="33"/>
  <c r="H40" i="33"/>
  <c r="H48" i="33"/>
  <c r="G77" i="33"/>
  <c r="G79" i="33" s="1"/>
  <c r="H75" i="32"/>
  <c r="G95" i="32"/>
  <c r="G96" i="32" s="1"/>
  <c r="H48" i="32"/>
  <c r="H52" i="32"/>
  <c r="H76" i="32"/>
  <c r="H79" i="32"/>
  <c r="H41" i="32"/>
  <c r="H43" i="32" s="1"/>
  <c r="H49" i="32"/>
  <c r="H53" i="32"/>
  <c r="H74" i="32"/>
  <c r="H77" i="32"/>
  <c r="H84" i="32"/>
  <c r="H86" i="32"/>
  <c r="G100" i="31"/>
  <c r="G99" i="31"/>
  <c r="H48" i="31"/>
  <c r="H52" i="31"/>
  <c r="H76" i="31"/>
  <c r="H79" i="31"/>
  <c r="H95" i="31"/>
  <c r="H49" i="31"/>
  <c r="H53" i="31"/>
  <c r="H74" i="31"/>
  <c r="H77" i="31"/>
  <c r="H84" i="31"/>
  <c r="H86" i="31"/>
  <c r="H88" i="31"/>
  <c r="H42" i="31"/>
  <c r="H46" i="31"/>
  <c r="H50" i="31"/>
  <c r="G78" i="31"/>
  <c r="G80" i="31" s="1"/>
  <c r="H94" i="31"/>
  <c r="H75" i="31"/>
  <c r="H85" i="31"/>
  <c r="G100" i="30"/>
  <c r="G99" i="30"/>
  <c r="G43" i="30"/>
  <c r="H47" i="30"/>
  <c r="H51" i="30"/>
  <c r="H76" i="30"/>
  <c r="H79" i="30"/>
  <c r="H95" i="30"/>
  <c r="H48" i="30"/>
  <c r="H52" i="30"/>
  <c r="H74" i="30"/>
  <c r="H77" i="30"/>
  <c r="H84" i="30"/>
  <c r="H86" i="30"/>
  <c r="H88" i="30"/>
  <c r="G78" i="30"/>
  <c r="G80" i="30" s="1"/>
  <c r="H94" i="30"/>
  <c r="H119" i="30"/>
  <c r="H75" i="30"/>
  <c r="H78" i="30"/>
  <c r="H85" i="30"/>
  <c r="G99" i="29"/>
  <c r="G98" i="29"/>
  <c r="H47" i="29"/>
  <c r="H51" i="29"/>
  <c r="H75" i="29"/>
  <c r="H78" i="29"/>
  <c r="H94" i="29"/>
  <c r="H40" i="29"/>
  <c r="H48" i="29"/>
  <c r="H52" i="29"/>
  <c r="H60" i="29"/>
  <c r="H61" i="29" s="1"/>
  <c r="H73" i="29"/>
  <c r="H76" i="29"/>
  <c r="H83" i="29"/>
  <c r="H85" i="29"/>
  <c r="H87" i="29"/>
  <c r="H41" i="29"/>
  <c r="H45" i="29"/>
  <c r="H49" i="29"/>
  <c r="G77" i="29"/>
  <c r="G79" i="29" s="1"/>
  <c r="H93" i="29"/>
  <c r="H95" i="29" s="1"/>
  <c r="H98" i="29" s="1"/>
  <c r="G42" i="29"/>
  <c r="H46" i="29"/>
  <c r="H50" i="29"/>
  <c r="H74" i="29"/>
  <c r="H84" i="29"/>
  <c r="H52" i="28"/>
  <c r="H48" i="28"/>
  <c r="H93" i="28"/>
  <c r="H87" i="28"/>
  <c r="H85" i="28"/>
  <c r="H83" i="28"/>
  <c r="H76" i="28"/>
  <c r="H73" i="28"/>
  <c r="H51" i="28"/>
  <c r="H47" i="28"/>
  <c r="H78" i="28"/>
  <c r="H75" i="28"/>
  <c r="H50" i="28"/>
  <c r="H94" i="28"/>
  <c r="H86" i="28"/>
  <c r="H84" i="28"/>
  <c r="H77" i="28"/>
  <c r="H74" i="28"/>
  <c r="H49" i="28"/>
  <c r="G99" i="28"/>
  <c r="G98" i="28"/>
  <c r="H94" i="39" l="1"/>
  <c r="H76" i="39"/>
  <c r="H45" i="39"/>
  <c r="H84" i="39"/>
  <c r="H47" i="39"/>
  <c r="H40" i="39"/>
  <c r="H83" i="39"/>
  <c r="H93" i="39"/>
  <c r="H74" i="39"/>
  <c r="H42" i="39"/>
  <c r="H51" i="39"/>
  <c r="H48" i="39"/>
  <c r="H87" i="39"/>
  <c r="H118" i="39"/>
  <c r="H85" i="38"/>
  <c r="H84" i="38"/>
  <c r="H76" i="38"/>
  <c r="H78" i="38"/>
  <c r="H52" i="38"/>
  <c r="H51" i="38"/>
  <c r="H41" i="38"/>
  <c r="H42" i="38" s="1"/>
  <c r="H40" i="38"/>
  <c r="H47" i="38"/>
  <c r="H74" i="38"/>
  <c r="H93" i="38"/>
  <c r="H95" i="38" s="1"/>
  <c r="H98" i="38" s="1"/>
  <c r="H73" i="38"/>
  <c r="H46" i="38"/>
  <c r="H118" i="38"/>
  <c r="H75" i="38"/>
  <c r="H86" i="38"/>
  <c r="H45" i="38"/>
  <c r="H83" i="38"/>
  <c r="H54" i="32"/>
  <c r="H78" i="35"/>
  <c r="H78" i="39"/>
  <c r="H52" i="39"/>
  <c r="H85" i="39"/>
  <c r="H49" i="39"/>
  <c r="H50" i="39"/>
  <c r="G99" i="38"/>
  <c r="H96" i="30"/>
  <c r="H99" i="30" s="1"/>
  <c r="H95" i="33"/>
  <c r="H98" i="33" s="1"/>
  <c r="H77" i="38"/>
  <c r="G99" i="39"/>
  <c r="H90" i="32"/>
  <c r="H78" i="37"/>
  <c r="H43" i="37"/>
  <c r="G100" i="40"/>
  <c r="G100" i="42"/>
  <c r="H66" i="28"/>
  <c r="H70" i="28" s="1"/>
  <c r="H78" i="41"/>
  <c r="H80" i="41" s="1"/>
  <c r="H121" i="41" s="1"/>
  <c r="H78" i="31"/>
  <c r="H80" i="31" s="1"/>
  <c r="H121" i="31" s="1"/>
  <c r="H77" i="33"/>
  <c r="G99" i="33"/>
  <c r="H54" i="35"/>
  <c r="H70" i="35" s="1"/>
  <c r="H71" i="36"/>
  <c r="H96" i="37"/>
  <c r="H99" i="37" s="1"/>
  <c r="H90" i="37"/>
  <c r="H67" i="31"/>
  <c r="H71" i="31" s="1"/>
  <c r="H66" i="29"/>
  <c r="H70" i="29" s="1"/>
  <c r="H96" i="35"/>
  <c r="H99" i="35" s="1"/>
  <c r="I90" i="37"/>
  <c r="H54" i="41"/>
  <c r="H70" i="41" s="1"/>
  <c r="G100" i="41"/>
  <c r="H67" i="32"/>
  <c r="H71" i="32" s="1"/>
  <c r="H71" i="35"/>
  <c r="H71" i="37"/>
  <c r="H89" i="33"/>
  <c r="H90" i="33" s="1"/>
  <c r="H71" i="41"/>
  <c r="H54" i="30"/>
  <c r="H70" i="30" s="1"/>
  <c r="H72" i="30" s="1"/>
  <c r="H120" i="30" s="1"/>
  <c r="H43" i="31"/>
  <c r="H44" i="31" s="1"/>
  <c r="H69" i="31" s="1"/>
  <c r="H70" i="33"/>
  <c r="H89" i="34"/>
  <c r="I90" i="34" s="1"/>
  <c r="H80" i="35"/>
  <c r="H121" i="35" s="1"/>
  <c r="H78" i="36"/>
  <c r="H80" i="36" s="1"/>
  <c r="H121" i="36" s="1"/>
  <c r="H96" i="36"/>
  <c r="H99" i="36" s="1"/>
  <c r="G100" i="36"/>
  <c r="H96" i="41"/>
  <c r="H99" i="41" s="1"/>
  <c r="H67" i="42"/>
  <c r="H71" i="42" s="1"/>
  <c r="H67" i="35"/>
  <c r="H66" i="38"/>
  <c r="H70" i="38" s="1"/>
  <c r="H42" i="28"/>
  <c r="H43" i="28" s="1"/>
  <c r="H68" i="28" s="1"/>
  <c r="H53" i="28"/>
  <c r="H69" i="28" s="1"/>
  <c r="H44" i="42"/>
  <c r="H69" i="42" s="1"/>
  <c r="H78" i="42"/>
  <c r="H80" i="42" s="1"/>
  <c r="H121" i="42" s="1"/>
  <c r="H54" i="42"/>
  <c r="H96" i="42"/>
  <c r="H99" i="42" s="1"/>
  <c r="H90" i="42"/>
  <c r="H44" i="41"/>
  <c r="H69" i="41" s="1"/>
  <c r="H90" i="41"/>
  <c r="H44" i="40"/>
  <c r="H69" i="40" s="1"/>
  <c r="H90" i="40"/>
  <c r="H54" i="40"/>
  <c r="H70" i="40" s="1"/>
  <c r="H78" i="40"/>
  <c r="H80" i="40" s="1"/>
  <c r="H121" i="40" s="1"/>
  <c r="H95" i="39"/>
  <c r="H98" i="39" s="1"/>
  <c r="H77" i="39"/>
  <c r="H89" i="39"/>
  <c r="H43" i="39"/>
  <c r="H68" i="39" s="1"/>
  <c r="H53" i="38"/>
  <c r="H69" i="38" s="1"/>
  <c r="H54" i="37"/>
  <c r="H91" i="37"/>
  <c r="H92" i="37" s="1"/>
  <c r="H98" i="37" s="1"/>
  <c r="H100" i="37" s="1"/>
  <c r="H122" i="37" s="1"/>
  <c r="H80" i="37"/>
  <c r="H121" i="37" s="1"/>
  <c r="H44" i="37"/>
  <c r="H69" i="37" s="1"/>
  <c r="H43" i="36"/>
  <c r="H44" i="36" s="1"/>
  <c r="H69" i="36" s="1"/>
  <c r="H54" i="36"/>
  <c r="H90" i="36"/>
  <c r="H90" i="35"/>
  <c r="G100" i="35"/>
  <c r="G99" i="35"/>
  <c r="H90" i="34"/>
  <c r="H91" i="34" s="1"/>
  <c r="H97" i="34" s="1"/>
  <c r="H53" i="34"/>
  <c r="G79" i="34"/>
  <c r="H79" i="34"/>
  <c r="H120" i="34" s="1"/>
  <c r="H95" i="34"/>
  <c r="H98" i="34" s="1"/>
  <c r="H43" i="34"/>
  <c r="H68" i="34" s="1"/>
  <c r="H42" i="33"/>
  <c r="H43" i="33" s="1"/>
  <c r="H68" i="33" s="1"/>
  <c r="H71" i="33" s="1"/>
  <c r="H119" i="33" s="1"/>
  <c r="H79" i="33"/>
  <c r="H120" i="33" s="1"/>
  <c r="H53" i="33"/>
  <c r="H69" i="33" s="1"/>
  <c r="H70" i="32"/>
  <c r="I53" i="32"/>
  <c r="G99" i="32"/>
  <c r="G100" i="32"/>
  <c r="H44" i="32"/>
  <c r="H69" i="32" s="1"/>
  <c r="I90" i="32"/>
  <c r="H91" i="32"/>
  <c r="H92" i="32" s="1"/>
  <c r="H98" i="32" s="1"/>
  <c r="H80" i="32"/>
  <c r="H121" i="32" s="1"/>
  <c r="H95" i="32"/>
  <c r="H96" i="32" s="1"/>
  <c r="H99" i="32" s="1"/>
  <c r="H96" i="31"/>
  <c r="H99" i="31" s="1"/>
  <c r="H90" i="31"/>
  <c r="H54" i="31"/>
  <c r="H90" i="30"/>
  <c r="I90" i="30" s="1"/>
  <c r="H80" i="30"/>
  <c r="H121" i="30" s="1"/>
  <c r="H42" i="29"/>
  <c r="H43" i="29" s="1"/>
  <c r="H68" i="29" s="1"/>
  <c r="H77" i="29"/>
  <c r="H79" i="29" s="1"/>
  <c r="H120" i="29" s="1"/>
  <c r="H53" i="29"/>
  <c r="H89" i="29"/>
  <c r="H79" i="28"/>
  <c r="H120" i="28" s="1"/>
  <c r="H95" i="28"/>
  <c r="H98" i="28" s="1"/>
  <c r="H89" i="28"/>
  <c r="H43" i="38" l="1"/>
  <c r="H68" i="38" s="1"/>
  <c r="H71" i="38" s="1"/>
  <c r="H119" i="38" s="1"/>
  <c r="H89" i="38"/>
  <c r="H91" i="38" s="1"/>
  <c r="H97" i="38" s="1"/>
  <c r="H99" i="38" s="1"/>
  <c r="H121" i="38" s="1"/>
  <c r="H79" i="38"/>
  <c r="H120" i="38" s="1"/>
  <c r="H79" i="39"/>
  <c r="H120" i="39" s="1"/>
  <c r="H72" i="35"/>
  <c r="H120" i="35" s="1"/>
  <c r="H53" i="39"/>
  <c r="H100" i="32"/>
  <c r="H122" i="32" s="1"/>
  <c r="H72" i="40"/>
  <c r="H120" i="40" s="1"/>
  <c r="H72" i="41"/>
  <c r="H120" i="41" s="1"/>
  <c r="H72" i="32"/>
  <c r="H120" i="32" s="1"/>
  <c r="H99" i="34"/>
  <c r="H121" i="34" s="1"/>
  <c r="H91" i="33"/>
  <c r="H97" i="33" s="1"/>
  <c r="H99" i="33" s="1"/>
  <c r="H121" i="33" s="1"/>
  <c r="H123" i="33" s="1"/>
  <c r="H108" i="33" s="1"/>
  <c r="H71" i="28"/>
  <c r="H119" i="28" s="1"/>
  <c r="H70" i="42"/>
  <c r="H72" i="42" s="1"/>
  <c r="H120" i="42" s="1"/>
  <c r="H92" i="42"/>
  <c r="H98" i="42" s="1"/>
  <c r="H100" i="42" s="1"/>
  <c r="H122" i="42" s="1"/>
  <c r="H92" i="41"/>
  <c r="H98" i="41" s="1"/>
  <c r="H100" i="41" s="1"/>
  <c r="H122" i="41" s="1"/>
  <c r="H92" i="40"/>
  <c r="H98" i="40" s="1"/>
  <c r="H100" i="40" s="1"/>
  <c r="H122" i="40" s="1"/>
  <c r="H69" i="39"/>
  <c r="H71" i="39" s="1"/>
  <c r="H119" i="39" s="1"/>
  <c r="H91" i="39"/>
  <c r="H97" i="39" s="1"/>
  <c r="H99" i="39" s="1"/>
  <c r="H121" i="39" s="1"/>
  <c r="H70" i="37"/>
  <c r="H72" i="37" s="1"/>
  <c r="H120" i="37" s="1"/>
  <c r="H124" i="37" s="1"/>
  <c r="H109" i="37" s="1"/>
  <c r="I53" i="37"/>
  <c r="H91" i="36"/>
  <c r="H92" i="36" s="1"/>
  <c r="H98" i="36" s="1"/>
  <c r="H100" i="36" s="1"/>
  <c r="H122" i="36" s="1"/>
  <c r="H70" i="36"/>
  <c r="H72" i="36" s="1"/>
  <c r="H120" i="36" s="1"/>
  <c r="I53" i="36"/>
  <c r="I90" i="36"/>
  <c r="H91" i="35"/>
  <c r="H92" i="35" s="1"/>
  <c r="H98" i="35" s="1"/>
  <c r="H100" i="35" s="1"/>
  <c r="H122" i="35" s="1"/>
  <c r="I90" i="35"/>
  <c r="H69" i="34"/>
  <c r="H71" i="34" s="1"/>
  <c r="H119" i="34" s="1"/>
  <c r="I53" i="34"/>
  <c r="H70" i="31"/>
  <c r="H72" i="31" s="1"/>
  <c r="H120" i="31" s="1"/>
  <c r="I53" i="31"/>
  <c r="H91" i="31"/>
  <c r="H92" i="31"/>
  <c r="H98" i="31" s="1"/>
  <c r="H100" i="31" s="1"/>
  <c r="H122" i="31" s="1"/>
  <c r="I90" i="31"/>
  <c r="H91" i="30"/>
  <c r="H92" i="30" s="1"/>
  <c r="H98" i="30" s="1"/>
  <c r="H100" i="30" s="1"/>
  <c r="H122" i="30" s="1"/>
  <c r="H124" i="30" s="1"/>
  <c r="H109" i="30" s="1"/>
  <c r="H69" i="29"/>
  <c r="H71" i="29" s="1"/>
  <c r="H119" i="29" s="1"/>
  <c r="I53" i="29"/>
  <c r="H90" i="29"/>
  <c r="H91" i="29" s="1"/>
  <c r="H97" i="29" s="1"/>
  <c r="H99" i="29" s="1"/>
  <c r="H121" i="29" s="1"/>
  <c r="I90" i="29"/>
  <c r="H90" i="28"/>
  <c r="H91" i="28" s="1"/>
  <c r="H97" i="28" s="1"/>
  <c r="H99" i="28" s="1"/>
  <c r="H121" i="28" s="1"/>
  <c r="G110" i="6"/>
  <c r="G116" i="6" s="1"/>
  <c r="H106" i="6"/>
  <c r="H122" i="6" s="1"/>
  <c r="G88" i="6"/>
  <c r="G87" i="6"/>
  <c r="G86" i="6"/>
  <c r="G85" i="6"/>
  <c r="G84" i="6"/>
  <c r="G83" i="6"/>
  <c r="G82" i="6"/>
  <c r="G74" i="6"/>
  <c r="H60" i="6"/>
  <c r="H58" i="6"/>
  <c r="H57" i="6"/>
  <c r="G54" i="6"/>
  <c r="G77" i="6" s="1"/>
  <c r="G79" i="6" s="1"/>
  <c r="G43" i="6"/>
  <c r="H29" i="6"/>
  <c r="H38" i="6" s="1"/>
  <c r="H124" i="32" l="1"/>
  <c r="H109" i="32" s="1"/>
  <c r="H124" i="31"/>
  <c r="H109" i="31" s="1"/>
  <c r="H110" i="31"/>
  <c r="H114" i="31" s="1"/>
  <c r="H123" i="29"/>
  <c r="H108" i="29" s="1"/>
  <c r="H123" i="39"/>
  <c r="H108" i="39" s="1"/>
  <c r="H110" i="37"/>
  <c r="H114" i="37" s="1"/>
  <c r="H59" i="6"/>
  <c r="G89" i="6"/>
  <c r="G90" i="6" s="1"/>
  <c r="G91" i="6" s="1"/>
  <c r="G97" i="6" s="1"/>
  <c r="H123" i="38"/>
  <c r="H108" i="38" s="1"/>
  <c r="H110" i="32"/>
  <c r="H116" i="32" s="1"/>
  <c r="H109" i="33"/>
  <c r="H115" i="33" s="1"/>
  <c r="H123" i="28"/>
  <c r="H124" i="42"/>
  <c r="H124" i="41"/>
  <c r="H109" i="41" s="1"/>
  <c r="H124" i="40"/>
  <c r="H109" i="40" s="1"/>
  <c r="H124" i="36"/>
  <c r="H109" i="36" s="1"/>
  <c r="H124" i="35"/>
  <c r="H109" i="35" s="1"/>
  <c r="H123" i="34"/>
  <c r="H108" i="34" s="1"/>
  <c r="H93" i="6"/>
  <c r="H50" i="6"/>
  <c r="H46" i="6"/>
  <c r="H42" i="6"/>
  <c r="H118" i="6"/>
  <c r="H87" i="6"/>
  <c r="H85" i="6"/>
  <c r="H83" i="6"/>
  <c r="H76" i="6"/>
  <c r="H73" i="6"/>
  <c r="H53" i="6"/>
  <c r="H49" i="6"/>
  <c r="H41" i="6"/>
  <c r="H78" i="6"/>
  <c r="H75" i="6"/>
  <c r="H52" i="6"/>
  <c r="H48" i="6"/>
  <c r="H86" i="6"/>
  <c r="H84" i="6"/>
  <c r="H77" i="6"/>
  <c r="H74" i="6"/>
  <c r="H51" i="6"/>
  <c r="H47" i="6"/>
  <c r="H65" i="6"/>
  <c r="G94" i="6"/>
  <c r="G95" i="6" s="1"/>
  <c r="H61" i="6"/>
  <c r="H62" i="6" s="1"/>
  <c r="H113" i="37" l="1"/>
  <c r="H113" i="32"/>
  <c r="J122" i="32"/>
  <c r="J123" i="32" s="1"/>
  <c r="J121" i="31"/>
  <c r="J122" i="31" s="1"/>
  <c r="H113" i="31"/>
  <c r="H116" i="31"/>
  <c r="H111" i="31" s="1"/>
  <c r="H117" i="31" s="1"/>
  <c r="I125" i="31"/>
  <c r="H109" i="29"/>
  <c r="H115" i="29" s="1"/>
  <c r="J122" i="33"/>
  <c r="J123" i="33" s="1"/>
  <c r="H114" i="32"/>
  <c r="H109" i="42"/>
  <c r="H110" i="41"/>
  <c r="H114" i="41" s="1"/>
  <c r="H110" i="40"/>
  <c r="H113" i="40" s="1"/>
  <c r="H109" i="39"/>
  <c r="H112" i="39" s="1"/>
  <c r="H109" i="34"/>
  <c r="H115" i="34" s="1"/>
  <c r="H113" i="33"/>
  <c r="H108" i="28"/>
  <c r="H109" i="38"/>
  <c r="H113" i="38" s="1"/>
  <c r="H116" i="37"/>
  <c r="H111" i="37" s="1"/>
  <c r="H110" i="36"/>
  <c r="H113" i="36" s="1"/>
  <c r="H110" i="35"/>
  <c r="H113" i="35" s="1"/>
  <c r="H112" i="33"/>
  <c r="I123" i="37"/>
  <c r="I124" i="37" s="1"/>
  <c r="H110" i="30"/>
  <c r="H66" i="6"/>
  <c r="H70" i="6" s="1"/>
  <c r="H54" i="6"/>
  <c r="H94" i="6"/>
  <c r="H95" i="6" s="1"/>
  <c r="H98" i="6" s="1"/>
  <c r="H79" i="6"/>
  <c r="H120" i="6" s="1"/>
  <c r="H43" i="6"/>
  <c r="H44" i="6" s="1"/>
  <c r="H68" i="6" s="1"/>
  <c r="G98" i="6"/>
  <c r="G99" i="6"/>
  <c r="H89" i="6"/>
  <c r="H113" i="39" l="1"/>
  <c r="H110" i="33"/>
  <c r="H116" i="33" s="1"/>
  <c r="H111" i="32"/>
  <c r="H117" i="32" s="1"/>
  <c r="H125" i="32" s="1"/>
  <c r="H114" i="40"/>
  <c r="H115" i="38"/>
  <c r="H116" i="35"/>
  <c r="H113" i="34"/>
  <c r="H112" i="34"/>
  <c r="H110" i="34" s="1"/>
  <c r="H112" i="29"/>
  <c r="H114" i="35"/>
  <c r="H111" i="35" s="1"/>
  <c r="H115" i="39"/>
  <c r="H116" i="41"/>
  <c r="I122" i="34"/>
  <c r="I123" i="34" s="1"/>
  <c r="H113" i="41"/>
  <c r="H113" i="29"/>
  <c r="H110" i="42"/>
  <c r="H116" i="40"/>
  <c r="J121" i="38"/>
  <c r="J122" i="38" s="1"/>
  <c r="I121" i="35"/>
  <c r="I122" i="35" s="1"/>
  <c r="H116" i="30"/>
  <c r="H113" i="30"/>
  <c r="J112" i="30"/>
  <c r="J113" i="30" s="1"/>
  <c r="H114" i="30"/>
  <c r="H109" i="28"/>
  <c r="J125" i="28" s="1"/>
  <c r="J126" i="28" s="1"/>
  <c r="H112" i="38"/>
  <c r="I121" i="36"/>
  <c r="I122" i="36" s="1"/>
  <c r="H116" i="36"/>
  <c r="H114" i="36"/>
  <c r="H124" i="33"/>
  <c r="H125" i="33" s="1"/>
  <c r="H117" i="37"/>
  <c r="H90" i="6"/>
  <c r="H91" i="6" s="1"/>
  <c r="H97" i="6" s="1"/>
  <c r="H99" i="6" s="1"/>
  <c r="H121" i="6" s="1"/>
  <c r="I89" i="6"/>
  <c r="H69" i="6"/>
  <c r="H71" i="6" s="1"/>
  <c r="H119" i="6" s="1"/>
  <c r="I53" i="6"/>
  <c r="H110" i="29" l="1"/>
  <c r="H111" i="41"/>
  <c r="H117" i="41" s="1"/>
  <c r="H125" i="41" s="1"/>
  <c r="H110" i="39"/>
  <c r="H116" i="39" s="1"/>
  <c r="H124" i="39" s="1"/>
  <c r="H125" i="39" s="1"/>
  <c r="H116" i="42"/>
  <c r="H113" i="42"/>
  <c r="H114" i="42"/>
  <c r="H110" i="38"/>
  <c r="H124" i="38" s="1"/>
  <c r="H125" i="38" s="1"/>
  <c r="H124" i="29"/>
  <c r="H116" i="29"/>
  <c r="H111" i="36"/>
  <c r="H117" i="36" s="1"/>
  <c r="H125" i="36" s="1"/>
  <c r="H126" i="36" s="1"/>
  <c r="H112" i="28"/>
  <c r="H113" i="28"/>
  <c r="H115" i="28"/>
  <c r="H111" i="30"/>
  <c r="H117" i="30" s="1"/>
  <c r="H125" i="30" s="1"/>
  <c r="H126" i="30" s="1"/>
  <c r="H116" i="34"/>
  <c r="H124" i="34" s="1"/>
  <c r="H125" i="34" s="1"/>
  <c r="H125" i="37"/>
  <c r="H126" i="37" s="1"/>
  <c r="H111" i="40"/>
  <c r="H117" i="40" s="1"/>
  <c r="H125" i="40" s="1"/>
  <c r="H126" i="40" s="1"/>
  <c r="H117" i="35"/>
  <c r="H125" i="35" s="1"/>
  <c r="H126" i="35" s="1"/>
  <c r="G124" i="33"/>
  <c r="H126" i="32"/>
  <c r="H123" i="6"/>
  <c r="H108" i="6" s="1"/>
  <c r="H111" i="42" l="1"/>
  <c r="H117" i="42" s="1"/>
  <c r="H125" i="42" s="1"/>
  <c r="H126" i="42" s="1"/>
  <c r="G121" i="42" s="1"/>
  <c r="H116" i="38"/>
  <c r="H110" i="28"/>
  <c r="H116" i="28" s="1"/>
  <c r="I125" i="29"/>
  <c r="H125" i="29"/>
  <c r="H125" i="31"/>
  <c r="I111" i="31"/>
  <c r="G124" i="38"/>
  <c r="H126" i="41"/>
  <c r="D130" i="40"/>
  <c r="G123" i="40"/>
  <c r="G119" i="40"/>
  <c r="G121" i="40"/>
  <c r="G120" i="40"/>
  <c r="G122" i="40"/>
  <c r="G125" i="40"/>
  <c r="D129" i="39"/>
  <c r="G122" i="39"/>
  <c r="G118" i="39"/>
  <c r="G120" i="39"/>
  <c r="G121" i="39"/>
  <c r="G119" i="39"/>
  <c r="G124" i="39"/>
  <c r="D130" i="37"/>
  <c r="H130" i="37" s="1"/>
  <c r="G123" i="37"/>
  <c r="G119" i="37"/>
  <c r="G122" i="37"/>
  <c r="G121" i="37"/>
  <c r="G120" i="37"/>
  <c r="G125" i="37"/>
  <c r="H112" i="36"/>
  <c r="D130" i="36"/>
  <c r="H130" i="36" s="1"/>
  <c r="G123" i="36"/>
  <c r="G119" i="36"/>
  <c r="G121" i="36"/>
  <c r="G120" i="36"/>
  <c r="G122" i="36"/>
  <c r="G125" i="36"/>
  <c r="G125" i="35"/>
  <c r="D129" i="34"/>
  <c r="H129" i="34" s="1"/>
  <c r="G122" i="34"/>
  <c r="G118" i="34"/>
  <c r="G120" i="34"/>
  <c r="G121" i="34"/>
  <c r="G119" i="34"/>
  <c r="G124" i="34"/>
  <c r="D129" i="33"/>
  <c r="H129" i="33" s="1"/>
  <c r="G122" i="33"/>
  <c r="G118" i="33"/>
  <c r="G119" i="33"/>
  <c r="G120" i="33"/>
  <c r="G121" i="33"/>
  <c r="D130" i="32"/>
  <c r="H130" i="32" s="1"/>
  <c r="G123" i="32"/>
  <c r="G119" i="32"/>
  <c r="G122" i="32"/>
  <c r="G121" i="32"/>
  <c r="G120" i="32"/>
  <c r="G125" i="32"/>
  <c r="D130" i="30"/>
  <c r="H130" i="30" s="1"/>
  <c r="G123" i="30"/>
  <c r="G120" i="30"/>
  <c r="G119" i="30"/>
  <c r="G121" i="30"/>
  <c r="G122" i="30"/>
  <c r="G125" i="30"/>
  <c r="H109" i="6"/>
  <c r="H124" i="6" s="1"/>
  <c r="H130" i="40" l="1"/>
  <c r="D22" i="43"/>
  <c r="H129" i="39"/>
  <c r="D19" i="43"/>
  <c r="G122" i="42"/>
  <c r="D130" i="42"/>
  <c r="G119" i="42"/>
  <c r="G120" i="42"/>
  <c r="G123" i="42"/>
  <c r="G125" i="42"/>
  <c r="H124" i="28"/>
  <c r="I125" i="28" s="1"/>
  <c r="G118" i="29"/>
  <c r="G124" i="29"/>
  <c r="G120" i="29"/>
  <c r="G122" i="29"/>
  <c r="D129" i="29"/>
  <c r="G119" i="29"/>
  <c r="G121" i="29"/>
  <c r="H126" i="31"/>
  <c r="G123" i="31" s="1"/>
  <c r="G123" i="34"/>
  <c r="G125" i="34" s="1"/>
  <c r="G124" i="32"/>
  <c r="G126" i="32" s="1"/>
  <c r="G124" i="37"/>
  <c r="G126" i="37" s="1"/>
  <c r="D130" i="41"/>
  <c r="G123" i="41"/>
  <c r="G119" i="41"/>
  <c r="G120" i="41"/>
  <c r="G121" i="41"/>
  <c r="G122" i="41"/>
  <c r="G125" i="41"/>
  <c r="G124" i="40"/>
  <c r="G126" i="40" s="1"/>
  <c r="F130" i="40"/>
  <c r="H135" i="40"/>
  <c r="G123" i="39"/>
  <c r="G125" i="39" s="1"/>
  <c r="F129" i="39"/>
  <c r="H134" i="39"/>
  <c r="D129" i="38"/>
  <c r="G122" i="38"/>
  <c r="G118" i="38"/>
  <c r="G119" i="38"/>
  <c r="G120" i="38"/>
  <c r="G121" i="38"/>
  <c r="F130" i="37"/>
  <c r="H131" i="37" s="1"/>
  <c r="H136" i="37" s="1"/>
  <c r="H137" i="37" s="1"/>
  <c r="H135" i="37"/>
  <c r="D14" i="43" s="1"/>
  <c r="G124" i="36"/>
  <c r="G126" i="36" s="1"/>
  <c r="F130" i="36"/>
  <c r="H131" i="36" s="1"/>
  <c r="H136" i="36" s="1"/>
  <c r="H137" i="36" s="1"/>
  <c r="H135" i="36"/>
  <c r="D13" i="43" s="1"/>
  <c r="H112" i="35"/>
  <c r="D130" i="35"/>
  <c r="H130" i="35" s="1"/>
  <c r="G123" i="35"/>
  <c r="G120" i="35"/>
  <c r="G119" i="35"/>
  <c r="G121" i="35"/>
  <c r="G122" i="35"/>
  <c r="F129" i="34"/>
  <c r="H130" i="34" s="1"/>
  <c r="H135" i="34" s="1"/>
  <c r="H136" i="34" s="1"/>
  <c r="H134" i="34"/>
  <c r="D11" i="43" s="1"/>
  <c r="G123" i="33"/>
  <c r="G125" i="33" s="1"/>
  <c r="F129" i="33"/>
  <c r="H130" i="33" s="1"/>
  <c r="H135" i="33" s="1"/>
  <c r="H136" i="33" s="1"/>
  <c r="H134" i="33"/>
  <c r="D10" i="43" s="1"/>
  <c r="H135" i="32"/>
  <c r="D7" i="43" s="1"/>
  <c r="F7" i="43" s="1"/>
  <c r="F130" i="32"/>
  <c r="H131" i="32" s="1"/>
  <c r="H136" i="32" s="1"/>
  <c r="H137" i="32" s="1"/>
  <c r="F130" i="30"/>
  <c r="H131" i="30" s="1"/>
  <c r="H136" i="30" s="1"/>
  <c r="H137" i="30" s="1"/>
  <c r="H135" i="30"/>
  <c r="D5" i="43" s="1"/>
  <c r="F5" i="43" s="1"/>
  <c r="G124" i="30"/>
  <c r="G126" i="30" s="1"/>
  <c r="H125" i="6"/>
  <c r="H131" i="40" l="1"/>
  <c r="H136" i="40" s="1"/>
  <c r="H137" i="40" s="1"/>
  <c r="H130" i="41"/>
  <c r="D21" i="43"/>
  <c r="H130" i="42"/>
  <c r="D20" i="43"/>
  <c r="F20" i="43" s="1"/>
  <c r="G20" i="43" s="1"/>
  <c r="F19" i="43"/>
  <c r="G19" i="43" s="1"/>
  <c r="H130" i="39"/>
  <c r="H135" i="39" s="1"/>
  <c r="H136" i="39" s="1"/>
  <c r="H129" i="38"/>
  <c r="D18" i="43"/>
  <c r="G124" i="42"/>
  <c r="G126" i="42" s="1"/>
  <c r="H135" i="42"/>
  <c r="F22" i="43" s="1"/>
  <c r="G22" i="43" s="1"/>
  <c r="G122" i="31"/>
  <c r="F130" i="42"/>
  <c r="H131" i="42" s="1"/>
  <c r="H136" i="42" s="1"/>
  <c r="H137" i="42" s="1"/>
  <c r="H125" i="28"/>
  <c r="G118" i="28" s="1"/>
  <c r="H129" i="29"/>
  <c r="F129" i="29"/>
  <c r="H134" i="29"/>
  <c r="G123" i="29"/>
  <c r="G125" i="29" s="1"/>
  <c r="G125" i="31"/>
  <c r="G119" i="31"/>
  <c r="G121" i="31"/>
  <c r="G120" i="31"/>
  <c r="D130" i="31"/>
  <c r="G123" i="38"/>
  <c r="G125" i="38" s="1"/>
  <c r="F11" i="43"/>
  <c r="G124" i="41"/>
  <c r="G126" i="41" s="1"/>
  <c r="F14" i="43"/>
  <c r="F130" i="41"/>
  <c r="H135" i="41"/>
  <c r="F129" i="38"/>
  <c r="H134" i="38"/>
  <c r="F130" i="35"/>
  <c r="H131" i="35" s="1"/>
  <c r="H136" i="35" s="1"/>
  <c r="H137" i="35" s="1"/>
  <c r="H135" i="35"/>
  <c r="D12" i="43" s="1"/>
  <c r="F12" i="43" s="1"/>
  <c r="G124" i="35"/>
  <c r="G126" i="35" s="1"/>
  <c r="G122" i="28"/>
  <c r="H112" i="6"/>
  <c r="H115" i="6"/>
  <c r="H111" i="6"/>
  <c r="D129" i="6"/>
  <c r="H114" i="6"/>
  <c r="H113" i="6"/>
  <c r="G122" i="6"/>
  <c r="G118" i="6"/>
  <c r="G120" i="6"/>
  <c r="G119" i="6"/>
  <c r="G121" i="6"/>
  <c r="G124" i="6"/>
  <c r="H131" i="41" l="1"/>
  <c r="H136" i="41" s="1"/>
  <c r="H137" i="41" s="1"/>
  <c r="H130" i="38"/>
  <c r="H135" i="38" s="1"/>
  <c r="H136" i="38" s="1"/>
  <c r="D129" i="28"/>
  <c r="H129" i="28" s="1"/>
  <c r="H130" i="29"/>
  <c r="H135" i="29" s="1"/>
  <c r="H136" i="29" s="1"/>
  <c r="G121" i="28"/>
  <c r="G120" i="28"/>
  <c r="G119" i="28"/>
  <c r="G124" i="28"/>
  <c r="H130" i="31"/>
  <c r="H135" i="31"/>
  <c r="D6" i="43" s="1"/>
  <c r="F6" i="43" s="1"/>
  <c r="F130" i="31"/>
  <c r="G124" i="31"/>
  <c r="G126" i="31" s="1"/>
  <c r="F10" i="43"/>
  <c r="F21" i="43"/>
  <c r="G21" i="43" s="1"/>
  <c r="F13" i="43"/>
  <c r="F129" i="28"/>
  <c r="H130" i="28" s="1"/>
  <c r="H135" i="28" s="1"/>
  <c r="H136" i="28" s="1"/>
  <c r="H134" i="28"/>
  <c r="G123" i="6"/>
  <c r="G125" i="6" s="1"/>
  <c r="H116" i="6"/>
  <c r="F129" i="6"/>
  <c r="H129" i="6" s="1"/>
  <c r="H130" i="6" s="1"/>
  <c r="H135" i="6" s="1"/>
  <c r="H136" i="6" s="1"/>
  <c r="H134" i="6"/>
  <c r="G123" i="28" l="1"/>
  <c r="H131" i="31"/>
  <c r="H136" i="31" s="1"/>
  <c r="H137" i="31" s="1"/>
  <c r="G125" i="28"/>
  <c r="F15" i="43"/>
  <c r="F16" i="43" s="1"/>
  <c r="F18" i="43"/>
  <c r="G18" i="43" s="1"/>
  <c r="G23" i="43" s="1"/>
  <c r="D4" i="43"/>
  <c r="F4" i="43" s="1"/>
  <c r="D3" i="43"/>
  <c r="F3" i="43" s="1"/>
  <c r="F8" i="43" l="1"/>
  <c r="F9" i="43" s="1"/>
</calcChain>
</file>

<file path=xl/comments1.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10.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11.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12.xml><?xml version="1.0" encoding="utf-8"?>
<comments xmlns="http://schemas.openxmlformats.org/spreadsheetml/2006/main">
  <authors>
    <author>Autor</author>
  </authors>
  <commentList>
    <comment ref="D46"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2.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0"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0" authorId="0">
      <text>
        <r>
          <rPr>
            <sz val="10"/>
            <color rgb="FF000000"/>
            <rFont val="Arial"/>
            <family val="2"/>
            <charset val="1"/>
          </rPr>
          <t>Selecionar entre:
Mínimo
Médio 
Máximo
Sem Insalubridade</t>
        </r>
      </text>
    </comment>
    <comment ref="E30" authorId="0">
      <text>
        <r>
          <rPr>
            <sz val="10"/>
            <color rgb="FF000000"/>
            <rFont val="Arial"/>
            <family val="2"/>
            <charset val="1"/>
          </rPr>
          <t>Selecionar entre:
0%
10%
20%
40%
E o valor da Insalubridade será calculado sobre o valor da salário</t>
        </r>
      </text>
    </comment>
    <comment ref="F30" authorId="0">
      <text>
        <r>
          <rPr>
            <sz val="10"/>
            <color rgb="FF000000"/>
            <rFont val="Arial"/>
            <family val="2"/>
            <charset val="1"/>
          </rPr>
          <t>Digitar valo do Salário Mínimo ou o da Categoria se expressamente estabelecido em Convenção Coletiva</t>
        </r>
      </text>
    </comment>
    <comment ref="B31"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B34"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0"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0"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1"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1"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5" authorId="0">
      <text>
        <r>
          <rPr>
            <sz val="10"/>
            <color rgb="FF000000"/>
            <rFont val="Arial"/>
            <family val="2"/>
            <charset val="1"/>
          </rPr>
          <t>Contribuição de 20% sobre o total das remunerações destinada à Seguridade Social, conforme determina a Lei 8.212/91.</t>
        </r>
      </text>
    </comment>
    <comment ref="B46"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6"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6" authorId="0">
      <text>
        <r>
          <rPr>
            <sz val="9"/>
            <color rgb="FF000000"/>
            <rFont val="Tahoma"/>
            <family val="2"/>
            <charset val="1"/>
          </rPr>
          <t>Zerar se for optante pelo simples</t>
        </r>
      </text>
    </comment>
    <comment ref="B47"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7" authorId="0">
      <text>
        <r>
          <rPr>
            <b/>
            <sz val="9"/>
            <color rgb="FF000000"/>
            <rFont val="Tahoma"/>
            <family val="2"/>
            <charset val="1"/>
          </rPr>
          <t>Usuário do Windo</t>
        </r>
        <r>
          <rPr>
            <sz val="9"/>
            <color rgb="FF000000"/>
            <rFont val="Tahoma"/>
            <family val="2"/>
            <charset val="1"/>
          </rPr>
          <t>Zerar se for optante pelo simples</t>
        </r>
      </text>
    </comment>
    <comment ref="B48"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8" authorId="0">
      <text>
        <r>
          <rPr>
            <b/>
            <sz val="9"/>
            <color rgb="FF000000"/>
            <rFont val="Tahoma"/>
            <family val="2"/>
            <charset val="1"/>
          </rPr>
          <t>Usuário do Windows:</t>
        </r>
        <r>
          <rPr>
            <sz val="9"/>
            <color rgb="FF000000"/>
            <rFont val="Tahoma"/>
            <family val="2"/>
            <charset val="1"/>
          </rPr>
          <t>Zerar se for optante pelo simples</t>
        </r>
      </text>
    </comment>
    <comment ref="B49"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1"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1"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2"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2" authorId="0">
      <text>
        <r>
          <rPr>
            <b/>
            <sz val="9"/>
            <color rgb="FF000000"/>
            <rFont val="Tahoma"/>
            <family val="2"/>
            <charset val="1"/>
          </rPr>
          <t>Usuário do Windows:</t>
        </r>
        <r>
          <rPr>
            <sz val="9"/>
            <color rgb="FF000000"/>
            <rFont val="Tahoma"/>
            <family val="2"/>
            <charset val="1"/>
          </rPr>
          <t>Zerar se for optante pelo simples</t>
        </r>
      </text>
    </comment>
    <comment ref="G59"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3.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0"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0" authorId="0">
      <text>
        <r>
          <rPr>
            <sz val="10"/>
            <color rgb="FF000000"/>
            <rFont val="Arial"/>
            <family val="2"/>
            <charset val="1"/>
          </rPr>
          <t>Selecionar entre:
Mínimo
Médio 
Máximo
Sem Insalubridade</t>
        </r>
      </text>
    </comment>
    <comment ref="E30" authorId="0">
      <text>
        <r>
          <rPr>
            <sz val="10"/>
            <color rgb="FF000000"/>
            <rFont val="Arial"/>
            <family val="2"/>
            <charset val="1"/>
          </rPr>
          <t>Selecionar entre:
0%
10%
20%
40%
E o valor da Insalubridade será calculado sobre o valor da salário</t>
        </r>
      </text>
    </comment>
    <comment ref="F30" authorId="0">
      <text>
        <r>
          <rPr>
            <sz val="10"/>
            <color rgb="FF000000"/>
            <rFont val="Arial"/>
            <family val="2"/>
            <charset val="1"/>
          </rPr>
          <t>Digitar valo do Salário Mínimo ou o da Categoria se expressamente estabelecido em Convenção Coletiva</t>
        </r>
      </text>
    </comment>
    <comment ref="B31"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2"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4"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0"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0"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1"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1"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5" authorId="0">
      <text>
        <r>
          <rPr>
            <sz val="10"/>
            <color rgb="FF000000"/>
            <rFont val="Arial"/>
            <family val="2"/>
            <charset val="1"/>
          </rPr>
          <t>Contribuição de 20% sobre o total das remunerações destinada à Seguridade Social, conforme determina a Lei 8.212/91.</t>
        </r>
      </text>
    </comment>
    <comment ref="B46"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6"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6" authorId="0">
      <text>
        <r>
          <rPr>
            <sz val="9"/>
            <color rgb="FF000000"/>
            <rFont val="Tahoma"/>
            <family val="2"/>
            <charset val="1"/>
          </rPr>
          <t>Zerar se for optante pelo simples</t>
        </r>
      </text>
    </comment>
    <comment ref="B47"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7" authorId="0">
      <text>
        <r>
          <rPr>
            <b/>
            <sz val="9"/>
            <color rgb="FF000000"/>
            <rFont val="Tahoma"/>
            <family val="2"/>
            <charset val="1"/>
          </rPr>
          <t>Usuário do Windo</t>
        </r>
        <r>
          <rPr>
            <sz val="9"/>
            <color rgb="FF000000"/>
            <rFont val="Tahoma"/>
            <family val="2"/>
            <charset val="1"/>
          </rPr>
          <t>Zerar se for optante pelo simples</t>
        </r>
      </text>
    </comment>
    <comment ref="B48"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8" authorId="0">
      <text>
        <r>
          <rPr>
            <b/>
            <sz val="9"/>
            <color rgb="FF000000"/>
            <rFont val="Tahoma"/>
            <family val="2"/>
            <charset val="1"/>
          </rPr>
          <t>Usuário do Windows:</t>
        </r>
        <r>
          <rPr>
            <sz val="9"/>
            <color rgb="FF000000"/>
            <rFont val="Tahoma"/>
            <family val="2"/>
            <charset val="1"/>
          </rPr>
          <t>Zerar se for optante pelo simples</t>
        </r>
      </text>
    </comment>
    <comment ref="B49"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1"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1"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2"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2" authorId="0">
      <text>
        <r>
          <rPr>
            <b/>
            <sz val="9"/>
            <color rgb="FF000000"/>
            <rFont val="Tahoma"/>
            <family val="2"/>
            <charset val="1"/>
          </rPr>
          <t>Usuário do Windows:</t>
        </r>
        <r>
          <rPr>
            <sz val="9"/>
            <color rgb="FF000000"/>
            <rFont val="Tahoma"/>
            <family val="2"/>
            <charset val="1"/>
          </rPr>
          <t>Zerar se for optante pelo simples</t>
        </r>
      </text>
    </comment>
    <comment ref="G59"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4.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5.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6.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7.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0"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0" authorId="0">
      <text>
        <r>
          <rPr>
            <sz val="10"/>
            <color rgb="FF000000"/>
            <rFont val="Arial"/>
            <family val="2"/>
            <charset val="1"/>
          </rPr>
          <t>Selecionar entre:
Mínimo
Médio 
Máximo
Sem Insalubridade</t>
        </r>
      </text>
    </comment>
    <comment ref="E30" authorId="0">
      <text>
        <r>
          <rPr>
            <sz val="10"/>
            <color rgb="FF000000"/>
            <rFont val="Arial"/>
            <family val="2"/>
            <charset val="1"/>
          </rPr>
          <t>Selecionar entre:
0%
10%
20%
40%
E o valor da Insalubridade será calculado sobre o valor da salário</t>
        </r>
      </text>
    </comment>
    <comment ref="F30" authorId="0">
      <text>
        <r>
          <rPr>
            <sz val="10"/>
            <color rgb="FF000000"/>
            <rFont val="Arial"/>
            <family val="2"/>
            <charset val="1"/>
          </rPr>
          <t>Digitar valo do Salário Mínimo ou o da Categoria se expressamente estabelecido em Convenção Coletiva</t>
        </r>
      </text>
    </comment>
    <comment ref="B31"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B34"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0"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0"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1"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1"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5" authorId="0">
      <text>
        <r>
          <rPr>
            <sz val="10"/>
            <color rgb="FF000000"/>
            <rFont val="Arial"/>
            <family val="2"/>
            <charset val="1"/>
          </rPr>
          <t>Contribuição de 20% sobre o total das remunerações destinada à Seguridade Social, conforme determina a Lei 8.212/91.</t>
        </r>
      </text>
    </comment>
    <comment ref="B46"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6"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6" authorId="0">
      <text>
        <r>
          <rPr>
            <sz val="9"/>
            <color rgb="FF000000"/>
            <rFont val="Tahoma"/>
            <family val="2"/>
            <charset val="1"/>
          </rPr>
          <t>Zerar se for optante pelo simples</t>
        </r>
      </text>
    </comment>
    <comment ref="B47"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7" authorId="0">
      <text>
        <r>
          <rPr>
            <b/>
            <sz val="9"/>
            <color rgb="FF000000"/>
            <rFont val="Tahoma"/>
            <family val="2"/>
            <charset val="1"/>
          </rPr>
          <t>Usuário do Windo</t>
        </r>
        <r>
          <rPr>
            <sz val="9"/>
            <color rgb="FF000000"/>
            <rFont val="Tahoma"/>
            <family val="2"/>
            <charset val="1"/>
          </rPr>
          <t>Zerar se for optante pelo simples</t>
        </r>
      </text>
    </comment>
    <comment ref="B48"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8" authorId="0">
      <text>
        <r>
          <rPr>
            <b/>
            <sz val="9"/>
            <color rgb="FF000000"/>
            <rFont val="Tahoma"/>
            <family val="2"/>
            <charset val="1"/>
          </rPr>
          <t>Usuário do Windows:</t>
        </r>
        <r>
          <rPr>
            <sz val="9"/>
            <color rgb="FF000000"/>
            <rFont val="Tahoma"/>
            <family val="2"/>
            <charset val="1"/>
          </rPr>
          <t>Zerar se for optante pelo simples</t>
        </r>
      </text>
    </comment>
    <comment ref="B49"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1"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1"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2"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2" authorId="0">
      <text>
        <r>
          <rPr>
            <b/>
            <sz val="9"/>
            <color rgb="FF000000"/>
            <rFont val="Tahoma"/>
            <family val="2"/>
            <charset val="1"/>
          </rPr>
          <t>Usuário do Windows:</t>
        </r>
        <r>
          <rPr>
            <sz val="9"/>
            <color rgb="FF000000"/>
            <rFont val="Tahoma"/>
            <family val="2"/>
            <charset val="1"/>
          </rPr>
          <t>Zerar se for optante pelo simples</t>
        </r>
      </text>
    </comment>
    <comment ref="G59"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8.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0"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0" authorId="0">
      <text>
        <r>
          <rPr>
            <sz val="10"/>
            <color rgb="FF000000"/>
            <rFont val="Arial"/>
            <family val="2"/>
            <charset val="1"/>
          </rPr>
          <t>Selecionar entre:
Mínimo
Médio 
Máximo
Sem Insalubridade</t>
        </r>
      </text>
    </comment>
    <comment ref="E30" authorId="0">
      <text>
        <r>
          <rPr>
            <sz val="10"/>
            <color rgb="FF000000"/>
            <rFont val="Arial"/>
            <family val="2"/>
            <charset val="1"/>
          </rPr>
          <t>Selecionar entre:
0%
10%
20%
40%
E o valor da Insalubridade será calculado sobre o valor da salário</t>
        </r>
      </text>
    </comment>
    <comment ref="F30" authorId="0">
      <text>
        <r>
          <rPr>
            <sz val="10"/>
            <color rgb="FF000000"/>
            <rFont val="Arial"/>
            <family val="2"/>
            <charset val="1"/>
          </rPr>
          <t>Digitar valo do Salário Mínimo ou o da Categoria se expressamente estabelecido em Convenção Coletiva</t>
        </r>
      </text>
    </comment>
    <comment ref="B31"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2"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4"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0"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0"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1"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1"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5" authorId="0">
      <text>
        <r>
          <rPr>
            <sz val="10"/>
            <color rgb="FF000000"/>
            <rFont val="Arial"/>
            <family val="2"/>
            <charset val="1"/>
          </rPr>
          <t>Contribuição de 20% sobre o total das remunerações destinada à Seguridade Social, conforme determina a Lei 8.212/91.</t>
        </r>
      </text>
    </comment>
    <comment ref="B46"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6"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6" authorId="0">
      <text>
        <r>
          <rPr>
            <sz val="9"/>
            <color rgb="FF000000"/>
            <rFont val="Tahoma"/>
            <family val="2"/>
            <charset val="1"/>
          </rPr>
          <t>Zerar se for optante pelo simples</t>
        </r>
      </text>
    </comment>
    <comment ref="B47"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7" authorId="0">
      <text>
        <r>
          <rPr>
            <b/>
            <sz val="9"/>
            <color rgb="FF000000"/>
            <rFont val="Tahoma"/>
            <family val="2"/>
            <charset val="1"/>
          </rPr>
          <t>Usuário do Windo</t>
        </r>
        <r>
          <rPr>
            <sz val="9"/>
            <color rgb="FF000000"/>
            <rFont val="Tahoma"/>
            <family val="2"/>
            <charset val="1"/>
          </rPr>
          <t>Zerar se for optante pelo simples</t>
        </r>
      </text>
    </comment>
    <comment ref="B48"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8" authorId="0">
      <text>
        <r>
          <rPr>
            <b/>
            <sz val="9"/>
            <color rgb="FF000000"/>
            <rFont val="Tahoma"/>
            <family val="2"/>
            <charset val="1"/>
          </rPr>
          <t>Usuário do Windows:</t>
        </r>
        <r>
          <rPr>
            <sz val="9"/>
            <color rgb="FF000000"/>
            <rFont val="Tahoma"/>
            <family val="2"/>
            <charset val="1"/>
          </rPr>
          <t>Zerar se for optante pelo simples</t>
        </r>
      </text>
    </comment>
    <comment ref="B49"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1"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1"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2"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2" authorId="0">
      <text>
        <r>
          <rPr>
            <b/>
            <sz val="9"/>
            <color rgb="FF000000"/>
            <rFont val="Tahoma"/>
            <family val="2"/>
            <charset val="1"/>
          </rPr>
          <t>Usuário do Windows:</t>
        </r>
        <r>
          <rPr>
            <sz val="9"/>
            <color rgb="FF000000"/>
            <rFont val="Tahoma"/>
            <family val="2"/>
            <charset val="1"/>
          </rPr>
          <t>Zerar se for optante pelo simples</t>
        </r>
      </text>
    </comment>
    <comment ref="G59"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9.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sharedStrings.xml><?xml version="1.0" encoding="utf-8"?>
<sst xmlns="http://schemas.openxmlformats.org/spreadsheetml/2006/main" count="4394" uniqueCount="270">
  <si>
    <t>NOME DA EMPRESA:</t>
  </si>
  <si>
    <t>XXXXXXXXXXX</t>
  </si>
  <si>
    <t>DATA DA PROPOSTA</t>
  </si>
  <si>
    <t>Dados do Processo/ licitação</t>
  </si>
  <si>
    <t>A</t>
  </si>
  <si>
    <t>Número do Processo</t>
  </si>
  <si>
    <t>AS CÉLULAS EM VERMELHO ESTÃO LIBERADAS PARA ALTERAÇÃO PELO</t>
  </si>
  <si>
    <t>B</t>
  </si>
  <si>
    <t>Licitação Número- (Pregão eletrônico)</t>
  </si>
  <si>
    <t>C</t>
  </si>
  <si>
    <t>data e hora da realização do certame</t>
  </si>
  <si>
    <t>Dia XX/XX/2017 às XX:XX</t>
  </si>
  <si>
    <t>Descriminação dos serviços</t>
  </si>
  <si>
    <t>Data de apresentação da proposta</t>
  </si>
  <si>
    <t>________/______/________</t>
  </si>
  <si>
    <t>Município/UF</t>
  </si>
  <si>
    <t>Ano Acordo, Conv. ou Sent. Normat. Dis. Coletivo</t>
  </si>
  <si>
    <t>D</t>
  </si>
  <si>
    <r>
      <rPr>
        <sz val="12"/>
        <rFont val="Arial"/>
        <family val="2"/>
        <charset val="1"/>
      </rPr>
      <t>N</t>
    </r>
    <r>
      <rPr>
        <strike/>
        <sz val="12"/>
        <rFont val="Arial"/>
        <family val="2"/>
        <charset val="1"/>
      </rPr>
      <t>º</t>
    </r>
    <r>
      <rPr>
        <sz val="12"/>
        <rFont val="Arial"/>
        <family val="2"/>
        <charset val="1"/>
      </rPr>
      <t>de meses de execução contratual</t>
    </r>
  </si>
  <si>
    <t>Identificação dos serviços</t>
  </si>
  <si>
    <t>Tipo de Serviço</t>
  </si>
  <si>
    <t>Unidade de Medida</t>
  </si>
  <si>
    <t/>
  </si>
  <si>
    <t>Postos/ M²</t>
  </si>
  <si>
    <t>Mão-de-obra vinculada à execução contratual </t>
  </si>
  <si>
    <t>Dados comp. p/ composição dos custos referente à mão-de-obra</t>
  </si>
  <si>
    <t>Classificação Brasileira de Ocupações (CBO)</t>
  </si>
  <si>
    <t>Salario Normativo da Categoria Profissional</t>
  </si>
  <si>
    <t>Categ. Prof. ( vinculada à execução contratual )/n° CCT</t>
  </si>
  <si>
    <t>Data-base da categ.( dia/mês/ano )</t>
  </si>
  <si>
    <t>Módulo 1- Composição da Remuneração</t>
  </si>
  <si>
    <t>Salário- Base</t>
  </si>
  <si>
    <t>Adicional de periculosidade(lei 12.740/2012</t>
  </si>
  <si>
    <t>Sem Periculosidade</t>
  </si>
  <si>
    <t>Adicional de insalubridade</t>
  </si>
  <si>
    <t>Grau</t>
  </si>
  <si>
    <t>Percentual</t>
  </si>
  <si>
    <t>Salário Mínimo</t>
  </si>
  <si>
    <t>Adicional noturno</t>
  </si>
  <si>
    <t>Sem Insalubridade</t>
  </si>
  <si>
    <t>E</t>
  </si>
  <si>
    <t>Adicional de Hora Noturna Reduzida</t>
  </si>
  <si>
    <t>F</t>
  </si>
  <si>
    <t>H</t>
  </si>
  <si>
    <t>Outros ( especificar )</t>
  </si>
  <si>
    <t>TOTAL</t>
  </si>
  <si>
    <t>Módulo 2 -Encargos e  Benefícios Anuais, Mensais e Diários</t>
  </si>
  <si>
    <t>2.1</t>
  </si>
  <si>
    <t>Submódulo 2.1 – 13° ( décimo terceiro) Salário, Férias e Adicional de Férias</t>
  </si>
  <si>
    <t>13º salário (lei 4090/62)</t>
  </si>
  <si>
    <t>Férias e Terço Constitucional de Férias .</t>
  </si>
  <si>
    <t>Incidência do Submódulo 2.2  sobre 13° e Férias+ 1/3</t>
  </si>
  <si>
    <t>2.2</t>
  </si>
  <si>
    <t>Submódulo 2.2 – Encargos Previdenciários (GPS), Fundo de Garantia por Tempo de Serviço (FGTS) e outras contribuições</t>
  </si>
  <si>
    <t>INSS</t>
  </si>
  <si>
    <t>SESI ou SESC</t>
  </si>
  <si>
    <t>OPTANTE PELO SIMPLES? LEIA ESSE COMENTÁRIO</t>
  </si>
  <si>
    <t>SENAI ou SENAC</t>
  </si>
  <si>
    <t>INCRA</t>
  </si>
  <si>
    <t>SALÁRIO EDUCAÇÃO</t>
  </si>
  <si>
    <t>FGTS</t>
  </si>
  <si>
    <t>G</t>
  </si>
  <si>
    <t>SAT</t>
  </si>
  <si>
    <t>SEBRAE</t>
  </si>
  <si>
    <t>2.3</t>
  </si>
  <si>
    <t>Submódulo 2.3-  Benefícios Mensais e Diários.</t>
  </si>
  <si>
    <t>.</t>
  </si>
  <si>
    <t>dias</t>
  </si>
  <si>
    <t>Qt. diária</t>
  </si>
  <si>
    <t>valor</t>
  </si>
  <si>
    <t>desconto</t>
  </si>
  <si>
    <t>Transporte</t>
  </si>
  <si>
    <t>(Desconto)</t>
  </si>
  <si>
    <t>Total</t>
  </si>
  <si>
    <t>Auxílio alimentação (vales, cesta básica etc)</t>
  </si>
  <si>
    <t>total</t>
  </si>
  <si>
    <t>Auxílio alimentação</t>
  </si>
  <si>
    <t>Outros (Contribuição Patronal)</t>
  </si>
  <si>
    <t>Seguro de vida, invalidez e funeral</t>
  </si>
  <si>
    <t>Quadro -  Resumo Módulo 2 -Encargos e  Benefícios Anuais, Mensais e Diários</t>
  </si>
  <si>
    <t>13° Salário, Férias e Adicional de Férias</t>
  </si>
  <si>
    <t>GPS, FGTS e outras contribuições</t>
  </si>
  <si>
    <t>Beneficio Mensais e Diários.</t>
  </si>
  <si>
    <t>Módulo 3 - Provisão para Rescisão</t>
  </si>
  <si>
    <t>Aviso prévio Indenizado</t>
  </si>
  <si>
    <t>Incidência do FGTS sobre aviso prévio indenizado</t>
  </si>
  <si>
    <t>Multa sobre FGTS  e contribuição social sobre o aviso prévio Indenizado</t>
  </si>
  <si>
    <t>Aviso Previo Trabalhado</t>
  </si>
  <si>
    <t>Incidência do Submódulo 2.2  sobre aviso prévio trabalhado.</t>
  </si>
  <si>
    <t>Multa sobre FGTS e contribuição social sobre aviso prévio Trabalhado</t>
  </si>
  <si>
    <t>Módulo 4-  Custo de Reposição do Profissional Ausente</t>
  </si>
  <si>
    <t>4.1</t>
  </si>
  <si>
    <t>Submódulo 4.1  – Ausências Legais</t>
  </si>
  <si>
    <t>Férias</t>
  </si>
  <si>
    <t>Ausências Legais</t>
  </si>
  <si>
    <t>Dias de ausência por ano</t>
  </si>
  <si>
    <t>Percentual de ocorrência por ano</t>
  </si>
  <si>
    <t>Licença paternidade</t>
  </si>
  <si>
    <t>Ausência por acidente de trabalho</t>
  </si>
  <si>
    <t>Afastamento Maternidade</t>
  </si>
  <si>
    <t>Ausência por doença</t>
  </si>
  <si>
    <t>Outros (especificar)</t>
  </si>
  <si>
    <t>Sub Total</t>
  </si>
  <si>
    <t>Incidência do Sub modulo 2.2 sobre o custo da reposição</t>
  </si>
  <si>
    <t>4.2</t>
  </si>
  <si>
    <t>Submódulo 4.2   – Intrajornada</t>
  </si>
  <si>
    <t>Intervalo para repouso ou alimentação</t>
  </si>
  <si>
    <t>Incidência do Sub modulo 2.2 sobre Intrajornada</t>
  </si>
  <si>
    <t>Quadro -  Resumo Módulo 4 - Custo de Reposição do Profissional Ausente</t>
  </si>
  <si>
    <t>Intrajornada</t>
  </si>
  <si>
    <t>Módulo 5 - Insumos Diversos</t>
  </si>
  <si>
    <t>Uniformes/Crachás</t>
  </si>
  <si>
    <t>Materiais custo estimado por funcionários</t>
  </si>
  <si>
    <t>Equipamentos</t>
  </si>
  <si>
    <t>6 - Custos Indiretos, Tributários e Lucro (CITL)</t>
  </si>
  <si>
    <t>Custos Indiretos</t>
  </si>
  <si>
    <t>Lucro</t>
  </si>
  <si>
    <t>Tributos total</t>
  </si>
  <si>
    <t>C.1</t>
  </si>
  <si>
    <t>IRPJ</t>
  </si>
  <si>
    <t>C.2</t>
  </si>
  <si>
    <t>PIS</t>
  </si>
  <si>
    <t>C.3</t>
  </si>
  <si>
    <t>COFINS</t>
  </si>
  <si>
    <t>C.4</t>
  </si>
  <si>
    <t>CSLL</t>
  </si>
  <si>
    <t>C.5</t>
  </si>
  <si>
    <t>ISS</t>
  </si>
  <si>
    <t>QUADRO RESUMO DO CUSTO POR EMPREGADO</t>
  </si>
  <si>
    <t>Módulo 2 – Encargos e Beneficio Anuais, Mensais e Diários</t>
  </si>
  <si>
    <t>Módulo 3- Previsão para rescisão</t>
  </si>
  <si>
    <t>Módulo 4- Custo de Reposição do Profissional Ausente</t>
  </si>
  <si>
    <t>sub total</t>
  </si>
  <si>
    <t>Custos indiretos, Tributos e Lucros</t>
  </si>
  <si>
    <t>Valor por Empregado.</t>
  </si>
  <si>
    <t>Quadro resumo - VALOR MENSAL DOS SERVIÇOS</t>
  </si>
  <si>
    <t>Valor proposto por empregados por posto</t>
  </si>
  <si>
    <t>Qt. empregado/posto</t>
  </si>
  <si>
    <t>Valor posto</t>
  </si>
  <si>
    <t>Qt postos</t>
  </si>
  <si>
    <t>Valor total do serviço</t>
  </si>
  <si>
    <t>(A)</t>
  </si>
  <si>
    <t>(B)</t>
  </si>
  <si>
    <t>( C )</t>
  </si>
  <si>
    <t>(D) = (B  X C)</t>
  </si>
  <si>
    <t>(E)</t>
  </si>
  <si>
    <t>( F ) = (D X E)</t>
  </si>
  <si>
    <t>VALOR MENSAL DOS SERVIÇOS</t>
  </si>
  <si>
    <t>Quadro - demonstrativo - VALOR GLOBAL DA PROPOSTA</t>
  </si>
  <si>
    <t>Descrição</t>
  </si>
  <si>
    <t>VALOR (R$)</t>
  </si>
  <si>
    <t>Valor proposto por unidade de medida</t>
  </si>
  <si>
    <t>Valor mensal do serviço</t>
  </si>
  <si>
    <t>Valor global da proposta (valor mensal x n.º de meses do contrato)</t>
  </si>
  <si>
    <t>MOSSORÓ/RN</t>
  </si>
  <si>
    <t>Adicional de Hora Extra (50%)</t>
  </si>
  <si>
    <t>XX/XX/2018</t>
  </si>
  <si>
    <t>RN000497/2017</t>
  </si>
  <si>
    <t>01/11/2018</t>
  </si>
  <si>
    <t>RSR sobre Hora Noturna</t>
  </si>
  <si>
    <t>Adicional de Hora Extra No Feriado Trabalhado(100%)</t>
  </si>
  <si>
    <t>I</t>
  </si>
  <si>
    <t>RSR sobre Horas Extras (50% e 100%)</t>
  </si>
  <si>
    <t>Ocorrências %</t>
  </si>
  <si>
    <t>EPI'S</t>
  </si>
  <si>
    <t>J</t>
  </si>
  <si>
    <t>L</t>
  </si>
  <si>
    <t>Sobreaviso</t>
  </si>
  <si>
    <t>ENCANADOR</t>
  </si>
  <si>
    <t>CBO 7241-10</t>
  </si>
  <si>
    <t>RN000112/2018</t>
  </si>
  <si>
    <t>01/01/2019</t>
  </si>
  <si>
    <t>MANUTENÇÃO PREDIAL</t>
  </si>
  <si>
    <t>2017/2018</t>
  </si>
  <si>
    <t>2018/2018</t>
  </si>
  <si>
    <t>ASG</t>
  </si>
  <si>
    <t xml:space="preserve">CBO </t>
  </si>
  <si>
    <t>BENEFÍCIO SOCIAL FAMILIAR(CLÁUS. 18ª) E SOCIAL(CLÁUS.19ª)</t>
  </si>
  <si>
    <t>CBO</t>
  </si>
  <si>
    <t>AGENTE DE LIMPEZA E DESINFECÇÃO</t>
  </si>
  <si>
    <t>LIMPEZA E CONSERVAÇÃO</t>
  </si>
  <si>
    <t>JARDINEIRO</t>
  </si>
  <si>
    <t>ENCARREGADO</t>
  </si>
  <si>
    <t>COPEIRA</t>
  </si>
  <si>
    <t>CARAÚBAS/RN</t>
  </si>
  <si>
    <t>ANGICOS/RN</t>
  </si>
  <si>
    <r>
      <t>Adicional de insalubridade</t>
    </r>
    <r>
      <rPr>
        <sz val="12"/>
        <color rgb="FFFF0000"/>
        <rFont val="Arial"/>
        <family val="2"/>
      </rPr>
      <t xml:space="preserve"> (verificar percentual aplicado conforme avaliação)</t>
    </r>
  </si>
  <si>
    <t>Grupo</t>
  </si>
  <si>
    <t>item</t>
  </si>
  <si>
    <t xml:space="preserve">Tipo de
Serviço      (A)
</t>
  </si>
  <si>
    <t>Valor Proposto
(B)</t>
  </si>
  <si>
    <t>Qtde
(C)</t>
  </si>
  <si>
    <t>Valor Mensal
do Serviço
(D) = (C x D)</t>
  </si>
  <si>
    <t>VALOR TOTAL MENSAL DOS SERVIÇOS (GRUPO 01)</t>
  </si>
  <si>
    <t>VALOR TOTAL MENSAL DOS SERVIÇOS (GRUPO 02)</t>
  </si>
  <si>
    <t>Auxiliar de Serviços Gerais - ASG</t>
  </si>
  <si>
    <t>Agente de Limpeza e Desinfecção</t>
  </si>
  <si>
    <t>Jardineiro</t>
  </si>
  <si>
    <t>Encarregado</t>
  </si>
  <si>
    <t>Copeira</t>
  </si>
  <si>
    <t>QUADRO RESUMO  -  VALORES  DOS SERVIÇOS(MENSAL E ANUAL)</t>
  </si>
  <si>
    <t xml:space="preserve">VALOR ANUAL DOS SERVIÇOS (12 MESES) </t>
  </si>
  <si>
    <t>P</t>
  </si>
  <si>
    <t xml:space="preserve">O preenchimento da planilha  e a elaboração dos cálculos é de total responsabilidade do licitante. </t>
  </si>
  <si>
    <t>Eventuais custos não previstos expressamente na memória de cálculo devem ser cobertos pelo LDI (Lucro e Despesas Indiretas).</t>
  </si>
  <si>
    <t>ISS - Município de Angicos  5%</t>
  </si>
  <si>
    <t>Os tributos (ISS, COFINS e PIS) foram definidos utilizando o regime de tributação de Lucro PRESUMIDO. A licitante deve elaborar sua proposta e, por conseguinte, sua planilha com base no regime de tributação ao qual estará submetida durante a execução do contrato.</t>
  </si>
  <si>
    <t>Em observância ao Acórdão nº 2622/2013 – TCU – Plenário as empresas optantes pelo Simples Nacional:</t>
  </si>
  <si>
    <t>1 -  a planilha deverá estar acompanhada da Declaração Anual do Simples Nacional – 2018</t>
  </si>
  <si>
    <t xml:space="preserve">2 -  devem apresentar os percentuais de ISS, PIS e COFINS compatíveis com as alíquotas a que a empresa está obrigada a recolher, previstas no Anexo IV da Lei Complementar n. 126/2006. </t>
  </si>
  <si>
    <t>3- A composição dos encargos sociais não inclua os gastos relativos às contribuições que essas empresas estão dispensadas de recolhimento (Sesi, Senai, Sebrae etc.), conforme dispõe o art. 13, §, da referida Lei Complementar.</t>
  </si>
  <si>
    <t>Observação item 4.1, alínea A: Considerando que o valor pago ao substituto durante as férias do empregado já consta na remuneração (módulo 1) e que o valor pago ao empregado para fazer frente ao custo de suas férias acrescidas do terço constitucional já foram apuradas na letra B do submódulo 2.1, não existe o custo a ser apontado nesta rubrica. No entanto, somente será devido o 1/3 constitucional do posto , conforme previsão no item 13.15 do Termo de Referência, para este contrato- onde não haverá substituição de profissional.</t>
  </si>
  <si>
    <t>5- O valor referente às diária (módulo 6 ) é fixo conforme Convenção Coletiva RN000275/2018 e a quantidade de diárias corresponde ao limite previsto no Termo de Referência (13 diárias), conforme item 05, Tabela 01:Apresentação dos cargos, quantitativos e memória de cálculo de horas extras, adicional noturno e diárias por posto/mês.</t>
  </si>
  <si>
    <t>MEMÓRIA DE CÁLCULO -FATOR DE DIVISÃO PARA FINS DE ENQUADRAMENTO DE REGIME DE TRIBUÇÃO(REAL,PRESUMIDO,SIMPLES)</t>
  </si>
  <si>
    <t>Tributação</t>
  </si>
  <si>
    <t>Alíquota PIS</t>
  </si>
  <si>
    <t>Alíquota COFINS</t>
  </si>
  <si>
    <t>Alíquota ISS</t>
  </si>
  <si>
    <t>Fator de Divisão</t>
  </si>
  <si>
    <t>Lucro Real</t>
  </si>
  <si>
    <t>Lucro Presumido</t>
  </si>
  <si>
    <t>SIMPLES(conforme enquadramento)</t>
  </si>
  <si>
    <t>6- O licitante deverá aplicar o fator de divisão adequado  ao seu  regime tributário.Sendo 0,8575 para empresas do Lucro Real, 0,9135 para empresas do Lucro Presumido e 0,9221 (dependerá do enquadramento do Simples)</t>
  </si>
  <si>
    <t>Programa de Qualificação Profissional e Marketing-PQM</t>
  </si>
  <si>
    <t>7- Levando em consideração a vigência contratual prevista no art.57 da Lei nº 8.666/1993, a rbrica férias tem como objetivo principal suprir a necessidade do pagamento das férias remuneradas ao final do contrato de 12 meses.Esta rubrica, quando da prorrogação contratual, torna-se o custo não-renovável. (IN n07 de 20 de setembro de 2018).</t>
  </si>
  <si>
    <t>Incidência de GPS, FGTS e outras constribuições sobre o Aviso Prévio Trabalhado</t>
  </si>
  <si>
    <t>Substituto na cobertura de Férias</t>
  </si>
  <si>
    <t>Substituto na cobertura de Ausências Legais</t>
  </si>
  <si>
    <t>Substituto na cobertura de Licença paternidade</t>
  </si>
  <si>
    <t>Substituto na cobertura de Ausência por acidente de trabalho</t>
  </si>
  <si>
    <t>Substituto na cobertura de Afastamento Maternidade</t>
  </si>
  <si>
    <t>Substituto na cobertura de Ausência por doença</t>
  </si>
  <si>
    <t>Submódulo 4.2   – Substituto na Intrajornada</t>
  </si>
  <si>
    <t>Substituto na Intrajornada</t>
  </si>
  <si>
    <t>Substituto na cobertura de Intervalo para repouso ou alimentação</t>
  </si>
  <si>
    <t>Substituto nas Ausências Legais</t>
  </si>
  <si>
    <t>Submódulo 4.1  – Substituto na Ausências Legais</t>
  </si>
  <si>
    <t>,</t>
  </si>
  <si>
    <t xml:space="preserve"> R$ - </t>
  </si>
  <si>
    <t>PP</t>
  </si>
  <si>
    <r>
      <t>Adicional de insalubridade</t>
    </r>
    <r>
      <rPr>
        <sz val="12"/>
        <color theme="1"/>
        <rFont val="Arial"/>
        <family val="2"/>
      </rPr>
      <t xml:space="preserve"> (verificar percentual aplicado conforme avaliação)</t>
    </r>
  </si>
  <si>
    <t>5143-20</t>
  </si>
  <si>
    <t>6220-10</t>
  </si>
  <si>
    <t>4101-05</t>
  </si>
  <si>
    <t>5134-25</t>
  </si>
  <si>
    <t>ITEM</t>
  </si>
  <si>
    <t>VALOR UNITÁRIO</t>
  </si>
  <si>
    <t>QUANTIDADE</t>
  </si>
  <si>
    <t>Outros (especificar) Relógio de Ponto</t>
  </si>
  <si>
    <t>AUXILIAR DE LIMPEZA</t>
  </si>
  <si>
    <t>Benefício Social Familiar</t>
  </si>
  <si>
    <t xml:space="preserve">Benefício Social Familiar </t>
  </si>
  <si>
    <t>Multa do FGTS sobre o aviso prévio Indenizado</t>
  </si>
  <si>
    <t>Multa do FGTS sobre aviso prévio Trabalhado</t>
  </si>
  <si>
    <t>ISS - Município de Pau dos Ferros  3%</t>
  </si>
  <si>
    <t>Não há serviço de transporte no Município de Angicos</t>
  </si>
  <si>
    <t>Não há serviço de transporte no município de Angicos</t>
  </si>
  <si>
    <t>ISS - Município de Angicos  3%</t>
  </si>
  <si>
    <t>ISS - Município de Angicos 3%</t>
  </si>
  <si>
    <t>COPEIRO</t>
  </si>
  <si>
    <t>GRUPO</t>
  </si>
  <si>
    <t>DESCRIÇÃO/ESPECIFICAÇÃO</t>
  </si>
  <si>
    <t>VALOR ESTIMADO MENSAL</t>
  </si>
  <si>
    <t>VALOR ESTIMADO ANUAL   (12 MESES)</t>
  </si>
  <si>
    <t>2021/2022</t>
  </si>
  <si>
    <t>01/01/2021</t>
  </si>
  <si>
    <t>RN000063/2021</t>
  </si>
  <si>
    <t>Auxílio Saúde</t>
  </si>
  <si>
    <t>Outros</t>
  </si>
  <si>
    <t>Salário Mínimo PISO 1</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</si>
</sst>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R$&quot;\ * #,##0.00_-;\-&quot;R$&quot;\ * #,##0.00_-;_-&quot;R$&quot;\ * &quot;-&quot;??_-;_-@_-"/>
    <numFmt numFmtId="43" formatCode="_-* #,##0.00_-;\-* #,##0.00_-;_-* &quot;-&quot;??_-;_-@_-"/>
    <numFmt numFmtId="164" formatCode="dd/mm/yy"/>
    <numFmt numFmtId="165" formatCode="[$R$-416]\ #,##0.00;[Red]\-[$R$-416]\ #,##0.00"/>
    <numFmt numFmtId="166" formatCode="&quot; R$ &quot;* #,##0.00\ ;&quot;-R$ &quot;* #,##0.00\ ;&quot; R$ &quot;* \-#\ ;@\ "/>
    <numFmt numFmtId="167" formatCode="&quot; R$&quot;* #,##0.00\ ;&quot; R$&quot;* \(#,##0.00\);&quot; R$&quot;* \-#\ ;@\ "/>
    <numFmt numFmtId="168" formatCode="#,##0.00%"/>
    <numFmt numFmtId="169" formatCode="&quot; R$ &quot;* #,##0.00\ ;&quot;-R$ &quot;* #,##0.00\ ;&quot; R$ &quot;* \-#.0\ ;@\ "/>
    <numFmt numFmtId="170" formatCode="0.00000%"/>
    <numFmt numFmtId="171" formatCode="[$R$-416]#,##0.00;[Red]\-[$R$-416]#,##0.00"/>
    <numFmt numFmtId="172" formatCode="&quot;R$&quot;\ #,##0.00"/>
    <numFmt numFmtId="173" formatCode="0.000%"/>
  </numFmts>
  <fonts count="31" x14ac:knownFonts="1">
    <font>
      <sz val="11"/>
      <color theme="1"/>
      <name val="Calibri"/>
      <family val="2"/>
      <scheme val="minor"/>
    </font>
    <font>
      <sz val="11"/>
      <color theme="1"/>
      <name val="Calibri"/>
      <family val="2"/>
      <scheme val="minor"/>
    </font>
    <font>
      <sz val="12"/>
      <color rgb="FF000000"/>
      <name val="Arial"/>
      <family val="2"/>
      <charset val="1"/>
    </font>
    <font>
      <b/>
      <sz val="12"/>
      <color rgb="FF000000"/>
      <name val="Arial"/>
      <family val="2"/>
      <charset val="1"/>
    </font>
    <font>
      <b/>
      <sz val="12"/>
      <color rgb="FFFF0000"/>
      <name val="Arial"/>
      <family val="2"/>
      <charset val="1"/>
    </font>
    <font>
      <sz val="12"/>
      <name val="Arial"/>
      <family val="2"/>
      <charset val="1"/>
    </font>
    <font>
      <sz val="12"/>
      <color rgb="FFFF0000"/>
      <name val="Arial"/>
      <family val="2"/>
      <charset val="1"/>
    </font>
    <font>
      <b/>
      <sz val="12"/>
      <color rgb="FF00FF00"/>
      <name val="Arial"/>
      <family val="2"/>
      <charset val="1"/>
    </font>
    <font>
      <strike/>
      <sz val="12"/>
      <name val="Arial"/>
      <family val="2"/>
      <charset val="1"/>
    </font>
    <font>
      <b/>
      <sz val="12"/>
      <name val="Arial"/>
      <family val="2"/>
      <charset val="1"/>
    </font>
    <font>
      <b/>
      <sz val="12"/>
      <color rgb="FF003300"/>
      <name val="Arial"/>
      <family val="2"/>
      <charset val="1"/>
    </font>
    <font>
      <sz val="10"/>
      <color rgb="FFFF0000"/>
      <name val="Arial"/>
      <family val="2"/>
      <charset val="1"/>
    </font>
    <font>
      <sz val="10"/>
      <color rgb="FF000000"/>
      <name val="Arial"/>
      <family val="2"/>
      <charset val="1"/>
    </font>
    <font>
      <b/>
      <sz val="10"/>
      <color rgb="FF000000"/>
      <name val="Arial"/>
      <family val="2"/>
      <charset val="1"/>
    </font>
    <font>
      <b/>
      <sz val="9"/>
      <color rgb="FF000000"/>
      <name val="Tahoma"/>
      <family val="2"/>
      <charset val="1"/>
    </font>
    <font>
      <sz val="9"/>
      <color rgb="FF000000"/>
      <name val="Tahoma"/>
      <family val="2"/>
      <charset val="1"/>
    </font>
    <font>
      <b/>
      <u/>
      <sz val="10"/>
      <color rgb="FF000000"/>
      <name val="Arial"/>
      <family val="2"/>
      <charset val="1"/>
    </font>
    <font>
      <b/>
      <sz val="12"/>
      <color rgb="FFFF0000"/>
      <name val="Tahoma"/>
      <family val="2"/>
      <charset val="1"/>
    </font>
    <font>
      <b/>
      <sz val="12"/>
      <color rgb="FF000000"/>
      <name val="Tahoma"/>
      <family val="2"/>
      <charset val="1"/>
    </font>
    <font>
      <b/>
      <sz val="10"/>
      <color rgb="FFFF0000"/>
      <name val="Arial"/>
      <family val="2"/>
      <charset val="1"/>
    </font>
    <font>
      <sz val="9"/>
      <color indexed="81"/>
      <name val="Tahoma"/>
      <family val="2"/>
    </font>
    <font>
      <b/>
      <sz val="9"/>
      <color indexed="81"/>
      <name val="Tahoma"/>
      <family val="2"/>
    </font>
    <font>
      <sz val="12"/>
      <color rgb="FFFF0000"/>
      <name val="Arial"/>
      <family val="2"/>
    </font>
    <font>
      <b/>
      <sz val="11"/>
      <color theme="1"/>
      <name val="Calibri"/>
      <family val="2"/>
      <scheme val="minor"/>
    </font>
    <font>
      <sz val="12"/>
      <color rgb="FF000000"/>
      <name val="Arial"/>
      <family val="2"/>
    </font>
    <font>
      <b/>
      <sz val="11"/>
      <color rgb="FFFF0000"/>
      <name val="Calibri"/>
      <family val="2"/>
      <scheme val="minor"/>
    </font>
    <font>
      <b/>
      <u/>
      <sz val="11"/>
      <color theme="1"/>
      <name val="Calibri"/>
      <family val="2"/>
      <scheme val="minor"/>
    </font>
    <font>
      <sz val="12"/>
      <color theme="1"/>
      <name val="Arial"/>
      <family val="2"/>
      <charset val="1"/>
    </font>
    <font>
      <b/>
      <sz val="12"/>
      <color theme="1"/>
      <name val="Arial"/>
      <family val="2"/>
      <charset val="1"/>
    </font>
    <font>
      <sz val="10"/>
      <color theme="1"/>
      <name val="Arial"/>
      <family val="2"/>
      <charset val="1"/>
    </font>
    <font>
      <sz val="12"/>
      <color theme="1"/>
      <name val="Arial"/>
      <family val="2"/>
    </font>
  </fonts>
  <fills count="9">
    <fill>
      <patternFill patternType="none"/>
    </fill>
    <fill>
      <patternFill patternType="gray125"/>
    </fill>
    <fill>
      <patternFill patternType="solid">
        <fgColor rgb="FF00B0F0"/>
        <bgColor rgb="FF33CCCC"/>
      </patternFill>
    </fill>
    <fill>
      <patternFill patternType="solid">
        <fgColor rgb="FFBFBFBF"/>
        <bgColor rgb="FFCCCCFF"/>
      </patternFill>
    </fill>
    <fill>
      <patternFill patternType="solid">
        <fgColor rgb="FF92D050"/>
        <bgColor rgb="FF33CCCC"/>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s>
  <borders count="8">
    <border>
      <left/>
      <right/>
      <top/>
      <bottom/>
      <diagonal/>
    </border>
    <border>
      <left style="hair">
        <color auto="1"/>
      </left>
      <right style="hair">
        <color auto="1"/>
      </right>
      <top style="hair">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316">
    <xf numFmtId="0" fontId="0" fillId="0" borderId="0" xfId="0"/>
    <xf numFmtId="0" fontId="2" fillId="0" borderId="0" xfId="0" applyFont="1" applyAlignment="1">
      <alignment horizontal="center" vertical="center"/>
    </xf>
    <xf numFmtId="164" fontId="2" fillId="0" borderId="0" xfId="0" applyNumberFormat="1" applyFont="1" applyAlignment="1">
      <alignment horizontal="center" vertical="center"/>
    </xf>
    <xf numFmtId="0" fontId="3" fillId="0" borderId="0" xfId="0" applyFont="1" applyAlignment="1">
      <alignment horizontal="center" vertical="center"/>
    </xf>
    <xf numFmtId="0" fontId="4" fillId="0" borderId="0" xfId="0" applyFont="1" applyAlignment="1" applyProtection="1">
      <alignment horizontal="center" vertical="center"/>
      <protection locked="0"/>
    </xf>
    <xf numFmtId="164" fontId="4" fillId="0" borderId="0" xfId="0" applyNumberFormat="1" applyFont="1" applyAlignment="1">
      <alignment horizontal="center" vertical="center"/>
    </xf>
    <xf numFmtId="0" fontId="2" fillId="0" borderId="0" xfId="0" applyFont="1" applyAlignment="1"/>
    <xf numFmtId="0" fontId="5" fillId="0" borderId="0" xfId="0" applyFont="1" applyAlignment="1">
      <alignment horizontal="left" vertical="center"/>
    </xf>
    <xf numFmtId="0" fontId="2"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pplyAlignment="1" applyProtection="1">
      <alignment horizontal="left" vertical="center"/>
      <protection locked="0"/>
    </xf>
    <xf numFmtId="0" fontId="7" fillId="0" borderId="0" xfId="0" applyFont="1" applyBorder="1" applyAlignment="1">
      <alignment vertical="center"/>
    </xf>
    <xf numFmtId="0" fontId="5" fillId="0" borderId="0" xfId="0" applyFont="1" applyAlignment="1">
      <alignment horizontal="center" vertical="center"/>
    </xf>
    <xf numFmtId="0" fontId="5" fillId="0" borderId="0" xfId="0" applyFont="1" applyAlignment="1">
      <alignment vertical="center"/>
    </xf>
    <xf numFmtId="0" fontId="2" fillId="0" borderId="0" xfId="0" applyFont="1" applyAlignment="1">
      <alignment vertical="center" wrapText="1"/>
    </xf>
    <xf numFmtId="0" fontId="5" fillId="0" borderId="0" xfId="0" applyFont="1" applyAlignment="1">
      <alignment vertical="top" shrinkToFit="1"/>
    </xf>
    <xf numFmtId="0" fontId="9" fillId="0" borderId="0" xfId="0" applyFont="1" applyAlignment="1">
      <alignment vertical="center"/>
    </xf>
    <xf numFmtId="0" fontId="3" fillId="0" borderId="0" xfId="0" applyFont="1" applyAlignment="1">
      <alignment horizontal="left" vertical="top" wrapText="1"/>
    </xf>
    <xf numFmtId="0" fontId="6" fillId="0" borderId="0" xfId="0" applyFont="1" applyAlignment="1" applyProtection="1">
      <alignment vertical="center"/>
      <protection locked="0"/>
    </xf>
    <xf numFmtId="0" fontId="6" fillId="0" borderId="0" xfId="0" applyFont="1" applyAlignment="1">
      <alignment vertical="center"/>
    </xf>
    <xf numFmtId="0" fontId="6" fillId="0" borderId="0" xfId="0" applyFont="1" applyAlignment="1" applyProtection="1">
      <alignment horizontal="left" vertical="top" wrapText="1"/>
      <protection locked="0"/>
    </xf>
    <xf numFmtId="0" fontId="2" fillId="0" borderId="0" xfId="0" applyFont="1" applyAlignment="1">
      <alignment horizontal="left" vertical="top" wrapText="1"/>
    </xf>
    <xf numFmtId="165" fontId="6" fillId="0" borderId="0" xfId="0" applyNumberFormat="1" applyFont="1" applyAlignment="1" applyProtection="1">
      <alignment horizontal="left" vertical="center"/>
      <protection locked="0"/>
    </xf>
    <xf numFmtId="165" fontId="6" fillId="0" borderId="0" xfId="0" applyNumberFormat="1" applyFont="1" applyAlignment="1">
      <alignment horizontal="left" vertical="center"/>
    </xf>
    <xf numFmtId="0" fontId="5" fillId="0" borderId="0" xfId="0" applyFont="1" applyAlignment="1">
      <alignment horizontal="left" vertical="top" wrapText="1"/>
    </xf>
    <xf numFmtId="0" fontId="5" fillId="0" borderId="0" xfId="0" applyFont="1" applyAlignment="1">
      <alignment vertical="center" wrapText="1"/>
    </xf>
    <xf numFmtId="0" fontId="10" fillId="2" borderId="0" xfId="0" applyFont="1" applyFill="1" applyBorder="1" applyAlignment="1">
      <alignment horizontal="center" vertical="center"/>
    </xf>
    <xf numFmtId="0" fontId="5" fillId="0" borderId="0" xfId="0" applyFont="1" applyAlignment="1"/>
    <xf numFmtId="166" fontId="2" fillId="0" borderId="0" xfId="0" applyNumberFormat="1" applyFont="1" applyAlignment="1">
      <alignment vertical="center"/>
    </xf>
    <xf numFmtId="166" fontId="6" fillId="0" borderId="0" xfId="0" applyNumberFormat="1" applyFont="1" applyAlignment="1" applyProtection="1">
      <alignment vertical="center"/>
      <protection locked="0"/>
    </xf>
    <xf numFmtId="0" fontId="6" fillId="0" borderId="1" xfId="0" applyFont="1" applyBorder="1" applyAlignment="1" applyProtection="1">
      <alignment horizontal="center"/>
      <protection locked="0"/>
    </xf>
    <xf numFmtId="10" fontId="11" fillId="0" borderId="1" xfId="0" applyNumberFormat="1" applyFont="1" applyBorder="1" applyAlignment="1" applyProtection="1">
      <alignment horizontal="center"/>
      <protection locked="0"/>
    </xf>
    <xf numFmtId="166" fontId="2" fillId="0" borderId="0" xfId="0" applyNumberFormat="1" applyFont="1" applyAlignment="1" applyProtection="1"/>
    <xf numFmtId="0" fontId="5" fillId="0" borderId="1" xfId="0" applyFont="1" applyBorder="1" applyAlignment="1">
      <alignment horizontal="center"/>
    </xf>
    <xf numFmtId="166" fontId="2" fillId="0" borderId="1" xfId="0" applyNumberFormat="1" applyFont="1" applyBorder="1" applyAlignment="1">
      <alignment horizontal="center" vertical="center"/>
    </xf>
    <xf numFmtId="166" fontId="2" fillId="0" borderId="0" xfId="0" applyNumberFormat="1" applyFont="1" applyAlignment="1"/>
    <xf numFmtId="10" fontId="6" fillId="0" borderId="1" xfId="0" applyNumberFormat="1" applyFont="1" applyBorder="1" applyAlignment="1" applyProtection="1">
      <protection locked="0"/>
    </xf>
    <xf numFmtId="165" fontId="6" fillId="0" borderId="1" xfId="0" applyNumberFormat="1" applyFont="1" applyBorder="1" applyAlignment="1" applyProtection="1">
      <alignment horizontal="center"/>
      <protection locked="0"/>
    </xf>
    <xf numFmtId="166" fontId="6" fillId="0" borderId="0" xfId="0" applyNumberFormat="1" applyFont="1" applyAlignment="1" applyProtection="1">
      <protection locked="0"/>
    </xf>
    <xf numFmtId="0" fontId="2" fillId="3" borderId="2" xfId="0" applyFont="1" applyFill="1" applyBorder="1" applyAlignment="1">
      <alignment horizontal="center" vertical="center"/>
    </xf>
    <xf numFmtId="0" fontId="9" fillId="3" borderId="3" xfId="0" applyFont="1" applyFill="1" applyBorder="1" applyAlignment="1"/>
    <xf numFmtId="0" fontId="5" fillId="3" borderId="3" xfId="0" applyFont="1" applyFill="1" applyBorder="1" applyAlignment="1"/>
    <xf numFmtId="167" fontId="2" fillId="3" borderId="3" xfId="0" applyNumberFormat="1" applyFont="1" applyFill="1" applyBorder="1" applyAlignment="1"/>
    <xf numFmtId="167" fontId="3" fillId="3" borderId="4" xfId="0" applyNumberFormat="1" applyFont="1" applyFill="1" applyBorder="1" applyAlignment="1"/>
    <xf numFmtId="0" fontId="3" fillId="2" borderId="5" xfId="0" applyFont="1" applyFill="1" applyBorder="1" applyAlignment="1">
      <alignment vertical="center"/>
    </xf>
    <xf numFmtId="10" fontId="2" fillId="0" borderId="0" xfId="0" applyNumberFormat="1" applyFont="1" applyAlignment="1">
      <alignment horizontal="center" vertical="center"/>
    </xf>
    <xf numFmtId="167" fontId="2" fillId="0" borderId="0" xfId="0" applyNumberFormat="1" applyFont="1" applyAlignment="1"/>
    <xf numFmtId="10" fontId="2" fillId="0" borderId="0" xfId="0" applyNumberFormat="1" applyFont="1" applyAlignment="1">
      <alignment horizontal="center"/>
    </xf>
    <xf numFmtId="0" fontId="5" fillId="0" borderId="0" xfId="0" applyFont="1" applyBorder="1" applyAlignment="1"/>
    <xf numFmtId="0" fontId="3" fillId="3" borderId="2" xfId="0" applyFont="1" applyFill="1" applyBorder="1" applyAlignment="1">
      <alignment horizontal="left" vertical="center"/>
    </xf>
    <xf numFmtId="0" fontId="9" fillId="3" borderId="2" xfId="0" applyFont="1" applyFill="1" applyBorder="1" applyAlignment="1"/>
    <xf numFmtId="0" fontId="2" fillId="0" borderId="0" xfId="0" applyFont="1" applyBorder="1" applyAlignment="1"/>
    <xf numFmtId="10" fontId="6" fillId="0" borderId="0" xfId="0" applyNumberFormat="1" applyFont="1" applyAlignment="1" applyProtection="1">
      <alignment horizontal="center" vertical="center"/>
      <protection locked="0"/>
    </xf>
    <xf numFmtId="0" fontId="2" fillId="0" borderId="0" xfId="0" applyFont="1" applyAlignment="1">
      <alignment horizontal="left" wrapText="1"/>
    </xf>
    <xf numFmtId="0" fontId="4" fillId="3" borderId="2" xfId="0" applyFont="1" applyFill="1" applyBorder="1" applyAlignment="1"/>
    <xf numFmtId="0" fontId="3" fillId="3" borderId="3" xfId="0" applyFont="1" applyFill="1" applyBorder="1" applyAlignment="1"/>
    <xf numFmtId="166" fontId="3" fillId="3" borderId="3" xfId="0" applyNumberFormat="1" applyFont="1" applyFill="1" applyBorder="1" applyAlignment="1">
      <alignment vertical="center"/>
    </xf>
    <xf numFmtId="10" fontId="3" fillId="3" borderId="3" xfId="0" applyNumberFormat="1" applyFont="1" applyFill="1" applyBorder="1" applyAlignment="1">
      <alignment horizontal="center" vertical="center"/>
    </xf>
    <xf numFmtId="166" fontId="3" fillId="3" borderId="4" xfId="0" applyNumberFormat="1" applyFont="1" applyFill="1" applyBorder="1" applyAlignment="1">
      <alignment vertical="center"/>
    </xf>
    <xf numFmtId="0" fontId="9" fillId="0" borderId="6" xfId="0" applyFont="1" applyBorder="1" applyAlignment="1"/>
    <xf numFmtId="0" fontId="3" fillId="0" borderId="6" xfId="0" applyFont="1" applyBorder="1" applyAlignment="1">
      <alignment horizontal="center"/>
    </xf>
    <xf numFmtId="168" fontId="2" fillId="0" borderId="0" xfId="0" applyNumberFormat="1" applyFont="1" applyAlignment="1">
      <alignment horizontal="left" vertical="center"/>
    </xf>
    <xf numFmtId="49" fontId="2" fillId="0" borderId="0" xfId="0" applyNumberFormat="1" applyFont="1" applyAlignment="1">
      <alignment horizontal="center"/>
    </xf>
    <xf numFmtId="49" fontId="2" fillId="3" borderId="2" xfId="0" applyNumberFormat="1" applyFont="1" applyFill="1" applyBorder="1" applyAlignment="1">
      <alignment horizontal="center"/>
    </xf>
    <xf numFmtId="0" fontId="5" fillId="3" borderId="3" xfId="0" applyFont="1" applyFill="1" applyBorder="1" applyAlignment="1">
      <alignment vertical="center"/>
    </xf>
    <xf numFmtId="165" fontId="9" fillId="3" borderId="4" xfId="0" applyNumberFormat="1" applyFont="1" applyFill="1" applyBorder="1" applyAlignment="1">
      <alignment vertical="center"/>
    </xf>
    <xf numFmtId="0" fontId="3" fillId="0" borderId="0" xfId="0" applyFont="1" applyAlignment="1">
      <alignment horizontal="left" vertical="center"/>
    </xf>
    <xf numFmtId="165" fontId="5" fillId="0" borderId="0" xfId="0" applyNumberFormat="1" applyFont="1" applyAlignment="1">
      <alignment vertical="center"/>
    </xf>
    <xf numFmtId="0" fontId="3" fillId="2" borderId="0" xfId="0" applyFont="1" applyFill="1" applyAlignment="1">
      <alignment horizontal="center"/>
    </xf>
    <xf numFmtId="0" fontId="5" fillId="0" borderId="0" xfId="0" applyFont="1" applyAlignment="1">
      <alignment horizontal="left" wrapText="1"/>
    </xf>
    <xf numFmtId="0" fontId="5" fillId="0" borderId="0" xfId="0" applyFont="1" applyAlignment="1">
      <alignment horizontal="left" vertical="center" wrapText="1"/>
    </xf>
    <xf numFmtId="10" fontId="6" fillId="0" borderId="0" xfId="1" applyNumberFormat="1" applyFont="1" applyBorder="1" applyAlignment="1" applyProtection="1">
      <alignment horizontal="center" vertical="center"/>
      <protection locked="0"/>
    </xf>
    <xf numFmtId="169" fontId="2" fillId="0" borderId="0" xfId="0" applyNumberFormat="1" applyFont="1" applyAlignment="1">
      <alignment vertical="center"/>
    </xf>
    <xf numFmtId="0" fontId="4" fillId="3" borderId="2" xfId="0" applyFont="1" applyFill="1" applyBorder="1" applyAlignment="1">
      <alignment vertical="center"/>
    </xf>
    <xf numFmtId="166" fontId="2" fillId="3" borderId="3" xfId="0" applyNumberFormat="1" applyFont="1" applyFill="1" applyBorder="1" applyAlignment="1">
      <alignment vertical="center"/>
    </xf>
    <xf numFmtId="0" fontId="3" fillId="2" borderId="0" xfId="0" applyFont="1" applyFill="1" applyBorder="1" applyAlignment="1">
      <alignment vertical="center"/>
    </xf>
    <xf numFmtId="0" fontId="6" fillId="0" borderId="6" xfId="0" applyFont="1" applyBorder="1" applyAlignment="1" applyProtection="1">
      <alignment horizontal="center" vertical="center" wrapText="1"/>
      <protection locked="0"/>
    </xf>
    <xf numFmtId="10" fontId="6" fillId="0" borderId="6" xfId="0" applyNumberFormat="1" applyFont="1" applyBorder="1" applyAlignment="1" applyProtection="1">
      <alignment horizontal="center" vertical="center" wrapText="1"/>
      <protection locked="0"/>
    </xf>
    <xf numFmtId="10" fontId="6" fillId="0" borderId="6" xfId="1" applyNumberFormat="1" applyFont="1" applyBorder="1" applyAlignment="1" applyProtection="1">
      <alignment horizontal="center" vertical="center" wrapText="1"/>
      <protection locked="0"/>
    </xf>
    <xf numFmtId="0" fontId="6" fillId="0" borderId="6" xfId="0" applyFont="1" applyBorder="1" applyAlignment="1" applyProtection="1">
      <alignment horizontal="center"/>
      <protection locked="0"/>
    </xf>
    <xf numFmtId="9" fontId="6" fillId="0" borderId="6" xfId="1" applyFont="1" applyBorder="1" applyAlignment="1" applyProtection="1">
      <alignment horizontal="center" vertical="center"/>
      <protection locked="0"/>
    </xf>
    <xf numFmtId="166" fontId="2" fillId="0" borderId="0" xfId="0" applyNumberFormat="1" applyFont="1" applyBorder="1" applyAlignment="1">
      <alignment vertical="center"/>
    </xf>
    <xf numFmtId="166" fontId="6" fillId="0" borderId="6" xfId="0" applyNumberFormat="1" applyFont="1" applyBorder="1" applyAlignment="1" applyProtection="1">
      <alignment horizontal="center" vertical="center"/>
      <protection locked="0"/>
    </xf>
    <xf numFmtId="0" fontId="9" fillId="2" borderId="0" xfId="0" applyFont="1" applyFill="1" applyBorder="1" applyAlignment="1">
      <alignment vertical="center"/>
    </xf>
    <xf numFmtId="166" fontId="5" fillId="0" borderId="0" xfId="0" applyNumberFormat="1" applyFont="1" applyAlignment="1">
      <alignment horizontal="center" vertical="center"/>
    </xf>
    <xf numFmtId="166" fontId="5" fillId="0" borderId="0" xfId="0" applyNumberFormat="1" applyFont="1" applyAlignment="1"/>
    <xf numFmtId="0" fontId="9" fillId="0" borderId="0" xfId="0" applyFont="1" applyAlignment="1">
      <alignment horizontal="center" vertical="center"/>
    </xf>
    <xf numFmtId="10" fontId="9" fillId="0" borderId="0" xfId="0" applyNumberFormat="1" applyFont="1" applyAlignment="1">
      <alignment horizontal="center" vertical="center"/>
    </xf>
    <xf numFmtId="0" fontId="5" fillId="0" borderId="0" xfId="0" applyFont="1" applyAlignment="1">
      <alignment horizontal="right" vertical="center"/>
    </xf>
    <xf numFmtId="0" fontId="5" fillId="2" borderId="0" xfId="0" applyFont="1" applyFill="1" applyBorder="1" applyAlignment="1">
      <alignment horizontal="center"/>
    </xf>
    <xf numFmtId="0" fontId="9" fillId="0" borderId="0" xfId="0" applyFont="1" applyAlignment="1">
      <alignment horizontal="center"/>
    </xf>
    <xf numFmtId="165" fontId="3" fillId="3" borderId="3" xfId="0" applyNumberFormat="1" applyFont="1" applyFill="1" applyBorder="1" applyAlignment="1"/>
    <xf numFmtId="0" fontId="2" fillId="2" borderId="0" xfId="0" applyFont="1" applyFill="1" applyBorder="1" applyAlignment="1"/>
    <xf numFmtId="0" fontId="9" fillId="0" borderId="0" xfId="0" applyFont="1" applyAlignment="1">
      <alignment horizontal="center" vertical="center" wrapText="1"/>
    </xf>
    <xf numFmtId="10" fontId="9" fillId="0" borderId="0" xfId="0" applyNumberFormat="1" applyFont="1" applyAlignment="1">
      <alignment horizontal="center" vertical="center" wrapText="1"/>
    </xf>
    <xf numFmtId="4" fontId="9" fillId="0" borderId="0" xfId="0" applyNumberFormat="1" applyFont="1" applyAlignment="1">
      <alignment horizontal="center" vertical="center" wrapText="1"/>
    </xf>
    <xf numFmtId="0" fontId="3" fillId="0" borderId="0" xfId="0" applyFont="1" applyAlignment="1">
      <alignment horizontal="center" vertical="center" wrapText="1"/>
    </xf>
    <xf numFmtId="10" fontId="3" fillId="0" borderId="0" xfId="0" applyNumberFormat="1" applyFont="1" applyAlignment="1">
      <alignment horizontal="center" vertical="center" wrapText="1"/>
    </xf>
    <xf numFmtId="4" fontId="3" fillId="0" borderId="0" xfId="0" applyNumberFormat="1" applyFont="1" applyAlignment="1">
      <alignment horizontal="center" vertical="center"/>
    </xf>
    <xf numFmtId="167" fontId="2" fillId="0" borderId="0" xfId="0" applyNumberFormat="1" applyFont="1" applyAlignment="1">
      <alignment horizontal="center" vertical="center"/>
    </xf>
    <xf numFmtId="0" fontId="6" fillId="0" borderId="0" xfId="0" applyFont="1" applyAlignment="1" applyProtection="1">
      <alignment horizontal="center" vertical="center"/>
      <protection locked="0"/>
    </xf>
    <xf numFmtId="1" fontId="4" fillId="0" borderId="0" xfId="0" applyNumberFormat="1" applyFont="1" applyAlignment="1" applyProtection="1">
      <alignment horizontal="center" vertical="center"/>
      <protection locked="0"/>
    </xf>
    <xf numFmtId="0" fontId="3" fillId="0" borderId="0" xfId="0" applyFont="1" applyAlignment="1">
      <alignment vertical="center"/>
    </xf>
    <xf numFmtId="0" fontId="2" fillId="0" borderId="0" xfId="0" applyFont="1" applyAlignment="1">
      <alignment vertical="center"/>
    </xf>
    <xf numFmtId="167" fontId="2" fillId="0" borderId="0" xfId="0" applyNumberFormat="1" applyFont="1" applyAlignment="1">
      <alignment vertical="center"/>
    </xf>
    <xf numFmtId="0" fontId="9" fillId="0" borderId="0" xfId="0" applyFont="1" applyAlignment="1"/>
    <xf numFmtId="0" fontId="9" fillId="0" borderId="0" xfId="0" applyFont="1" applyAlignment="1">
      <alignment wrapText="1"/>
    </xf>
    <xf numFmtId="167" fontId="9" fillId="0" borderId="0" xfId="0" applyNumberFormat="1" applyFont="1" applyAlignment="1">
      <alignment horizontal="center" vertical="center"/>
    </xf>
    <xf numFmtId="0" fontId="5" fillId="0" borderId="0" xfId="0" applyFont="1" applyAlignment="1">
      <alignment horizontal="center" wrapText="1"/>
    </xf>
    <xf numFmtId="0" fontId="5" fillId="0" borderId="0" xfId="0" applyFont="1" applyAlignment="1">
      <alignment wrapText="1"/>
    </xf>
    <xf numFmtId="0" fontId="3" fillId="2" borderId="0" xfId="0" applyFont="1" applyFill="1" applyBorder="1" applyAlignment="1">
      <alignment horizontal="center" vertical="center"/>
    </xf>
    <xf numFmtId="0" fontId="2" fillId="0" borderId="0" xfId="0" applyFont="1" applyBorder="1" applyAlignment="1">
      <alignment horizontal="left" vertical="center"/>
    </xf>
    <xf numFmtId="0" fontId="3" fillId="3" borderId="3" xfId="0" applyFont="1" applyFill="1" applyBorder="1" applyAlignment="1">
      <alignment horizontal="left" vertical="center"/>
    </xf>
    <xf numFmtId="0" fontId="3" fillId="0" borderId="0" xfId="0" applyFont="1" applyBorder="1" applyAlignment="1">
      <alignment horizontal="center" vertical="center"/>
    </xf>
    <xf numFmtId="0" fontId="5" fillId="0" borderId="0" xfId="0" applyFont="1" applyBorder="1" applyAlignment="1">
      <alignment horizontal="center" vertical="center"/>
    </xf>
    <xf numFmtId="43" fontId="0" fillId="0" borderId="0" xfId="0" applyNumberFormat="1"/>
    <xf numFmtId="0" fontId="2" fillId="0" borderId="7" xfId="0" applyFont="1" applyBorder="1" applyAlignment="1">
      <alignment vertical="center"/>
    </xf>
    <xf numFmtId="0" fontId="2" fillId="0" borderId="0" xfId="0" applyFont="1" applyBorder="1" applyAlignment="1">
      <alignment vertical="center"/>
    </xf>
    <xf numFmtId="170" fontId="2" fillId="0" borderId="7" xfId="1" applyNumberFormat="1" applyFont="1" applyBorder="1" applyAlignment="1">
      <alignment vertical="center"/>
    </xf>
    <xf numFmtId="44" fontId="0" fillId="0" borderId="0" xfId="2" applyFont="1"/>
    <xf numFmtId="171" fontId="0" fillId="0" borderId="0" xfId="0" applyNumberFormat="1"/>
    <xf numFmtId="166" fontId="0" fillId="0" borderId="0" xfId="0" applyNumberFormat="1"/>
    <xf numFmtId="10" fontId="0" fillId="0" borderId="0" xfId="0" applyNumberFormat="1"/>
    <xf numFmtId="0" fontId="5" fillId="0" borderId="0" xfId="0" applyFont="1" applyBorder="1" applyAlignment="1">
      <alignment horizontal="center" vertical="center"/>
    </xf>
    <xf numFmtId="0" fontId="3" fillId="0" borderId="0" xfId="0" applyFont="1" applyBorder="1" applyAlignment="1">
      <alignment horizontal="center" vertical="center"/>
    </xf>
    <xf numFmtId="0" fontId="2" fillId="0" borderId="0" xfId="0" applyFont="1" applyBorder="1" applyAlignment="1">
      <alignment horizontal="left" vertical="center"/>
    </xf>
    <xf numFmtId="0" fontId="3" fillId="3" borderId="3" xfId="0" applyFont="1" applyFill="1" applyBorder="1" applyAlignment="1">
      <alignment horizontal="left" vertical="center"/>
    </xf>
    <xf numFmtId="0" fontId="2" fillId="5" borderId="0" xfId="0" applyFont="1" applyFill="1" applyAlignment="1">
      <alignment horizontal="center" vertical="center"/>
    </xf>
    <xf numFmtId="0" fontId="2" fillId="5" borderId="0" xfId="0" applyFont="1" applyFill="1" applyBorder="1" applyAlignment="1"/>
    <xf numFmtId="0" fontId="2" fillId="5" borderId="0" xfId="0" applyFont="1" applyFill="1" applyAlignment="1">
      <alignment horizontal="left" wrapText="1"/>
    </xf>
    <xf numFmtId="10" fontId="6" fillId="5" borderId="0" xfId="0" applyNumberFormat="1" applyFont="1" applyFill="1" applyAlignment="1" applyProtection="1">
      <alignment horizontal="center" vertical="center"/>
      <protection locked="0"/>
    </xf>
    <xf numFmtId="166" fontId="2" fillId="5" borderId="0" xfId="0" applyNumberFormat="1" applyFont="1" applyFill="1" applyAlignment="1">
      <alignment vertical="center"/>
    </xf>
    <xf numFmtId="0" fontId="2" fillId="5" borderId="0" xfId="0" applyFont="1" applyFill="1" applyAlignment="1">
      <alignment wrapText="1"/>
    </xf>
    <xf numFmtId="0" fontId="2" fillId="5" borderId="0" xfId="0" applyFont="1" applyFill="1" applyAlignment="1"/>
    <xf numFmtId="0" fontId="5" fillId="5" borderId="1" xfId="0" applyFont="1" applyFill="1" applyBorder="1" applyAlignment="1">
      <alignment horizontal="center"/>
    </xf>
    <xf numFmtId="166" fontId="2" fillId="5" borderId="1" xfId="0" applyNumberFormat="1" applyFont="1" applyFill="1" applyBorder="1" applyAlignment="1">
      <alignment horizontal="center" vertical="center"/>
    </xf>
    <xf numFmtId="166" fontId="2" fillId="5" borderId="0" xfId="0" applyNumberFormat="1" applyFont="1" applyFill="1" applyAlignment="1"/>
    <xf numFmtId="166" fontId="2" fillId="5" borderId="0" xfId="0" applyNumberFormat="1" applyFont="1" applyFill="1" applyAlignment="1" applyProtection="1"/>
    <xf numFmtId="0" fontId="23" fillId="7" borderId="6" xfId="0" applyFont="1" applyFill="1" applyBorder="1" applyAlignment="1">
      <alignment horizontal="center"/>
    </xf>
    <xf numFmtId="0" fontId="23" fillId="7" borderId="6" xfId="0" applyFont="1" applyFill="1" applyBorder="1" applyAlignment="1">
      <alignment horizontal="center" wrapText="1"/>
    </xf>
    <xf numFmtId="0" fontId="0" fillId="0" borderId="6" xfId="0" applyBorder="1" applyAlignment="1">
      <alignment horizontal="center"/>
    </xf>
    <xf numFmtId="172" fontId="0" fillId="0" borderId="6" xfId="0" applyNumberFormat="1" applyBorder="1" applyAlignment="1">
      <alignment horizontal="center"/>
    </xf>
    <xf numFmtId="172" fontId="0" fillId="0" borderId="6" xfId="0" applyNumberFormat="1" applyFont="1" applyBorder="1" applyAlignment="1">
      <alignment horizontal="center"/>
    </xf>
    <xf numFmtId="172" fontId="23" fillId="6" borderId="6" xfId="0" applyNumberFormat="1" applyFont="1" applyFill="1" applyBorder="1" applyAlignment="1">
      <alignment horizontal="center"/>
    </xf>
    <xf numFmtId="172" fontId="23" fillId="6" borderId="6" xfId="0" applyNumberFormat="1" applyFont="1" applyFill="1" applyBorder="1"/>
    <xf numFmtId="0" fontId="24" fillId="0" borderId="6" xfId="0" applyFont="1" applyBorder="1" applyAlignment="1">
      <alignment horizontal="justify" vertical="center" wrapText="1"/>
    </xf>
    <xf numFmtId="0" fontId="24" fillId="0" borderId="6" xfId="0" applyFont="1" applyBorder="1" applyAlignment="1">
      <alignment horizontal="center" vertical="center" wrapText="1"/>
    </xf>
    <xf numFmtId="172" fontId="0" fillId="0" borderId="0" xfId="0" applyNumberFormat="1"/>
    <xf numFmtId="4" fontId="0" fillId="0" borderId="0" xfId="0" applyNumberFormat="1"/>
    <xf numFmtId="0" fontId="2" fillId="0" borderId="0" xfId="0" applyFont="1" applyBorder="1" applyAlignment="1">
      <alignment horizontal="left" vertical="center"/>
    </xf>
    <xf numFmtId="0" fontId="23" fillId="0" borderId="0" xfId="0" applyFont="1"/>
    <xf numFmtId="0" fontId="23" fillId="0" borderId="6" xfId="0" applyFont="1" applyBorder="1"/>
    <xf numFmtId="0" fontId="0" fillId="0" borderId="6" xfId="0" applyBorder="1"/>
    <xf numFmtId="10" fontId="0" fillId="0" borderId="6" xfId="0" applyNumberFormat="1" applyBorder="1"/>
    <xf numFmtId="9" fontId="0" fillId="0" borderId="6" xfId="0" applyNumberFormat="1" applyBorder="1"/>
    <xf numFmtId="0" fontId="25" fillId="0" borderId="0" xfId="0" applyFont="1"/>
    <xf numFmtId="0" fontId="23" fillId="0" borderId="0" xfId="0" applyFont="1" applyFill="1" applyBorder="1"/>
    <xf numFmtId="0" fontId="26" fillId="0" borderId="0" xfId="0" applyFont="1"/>
    <xf numFmtId="165" fontId="0" fillId="0" borderId="0" xfId="0" applyNumberFormat="1"/>
    <xf numFmtId="0" fontId="2" fillId="8" borderId="0" xfId="0" applyFont="1" applyFill="1" applyAlignment="1">
      <alignment horizontal="center" vertical="center"/>
    </xf>
    <xf numFmtId="0" fontId="2" fillId="8" borderId="0" xfId="0" applyFont="1" applyFill="1" applyBorder="1" applyAlignment="1"/>
    <xf numFmtId="0" fontId="2" fillId="8" borderId="0" xfId="0" applyFont="1" applyFill="1" applyAlignment="1">
      <alignment horizontal="left" wrapText="1"/>
    </xf>
    <xf numFmtId="166" fontId="2" fillId="8" borderId="0" xfId="0" applyNumberFormat="1" applyFont="1" applyFill="1" applyAlignment="1">
      <alignment vertical="center"/>
    </xf>
    <xf numFmtId="10" fontId="27" fillId="0" borderId="0" xfId="0" applyNumberFormat="1" applyFont="1" applyAlignment="1" applyProtection="1">
      <alignment horizontal="center" vertical="center"/>
      <protection locked="0"/>
    </xf>
    <xf numFmtId="10" fontId="27" fillId="8" borderId="0" xfId="0" applyNumberFormat="1" applyFont="1" applyFill="1" applyAlignment="1" applyProtection="1">
      <alignment horizontal="center" vertical="center"/>
      <protection locked="0"/>
    </xf>
    <xf numFmtId="10" fontId="27" fillId="0" borderId="0" xfId="1" applyNumberFormat="1"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1" fontId="28" fillId="0" borderId="0" xfId="0" applyNumberFormat="1" applyFont="1" applyAlignment="1" applyProtection="1">
      <alignment horizontal="center" vertical="center"/>
      <protection locked="0"/>
    </xf>
    <xf numFmtId="0" fontId="27" fillId="0" borderId="6" xfId="0" applyFont="1" applyBorder="1" applyAlignment="1" applyProtection="1">
      <alignment horizontal="center" vertical="center" wrapText="1"/>
      <protection locked="0"/>
    </xf>
    <xf numFmtId="0" fontId="27" fillId="0" borderId="6" xfId="0" applyFont="1" applyBorder="1" applyAlignment="1" applyProtection="1">
      <alignment horizontal="center"/>
      <protection locked="0"/>
    </xf>
    <xf numFmtId="10" fontId="27" fillId="0" borderId="6" xfId="0" applyNumberFormat="1" applyFont="1" applyBorder="1" applyAlignment="1" applyProtection="1">
      <alignment horizontal="center" vertical="center" wrapText="1"/>
      <protection locked="0"/>
    </xf>
    <xf numFmtId="10" fontId="27" fillId="0" borderId="6" xfId="1" applyNumberFormat="1" applyFont="1" applyBorder="1" applyAlignment="1" applyProtection="1">
      <alignment horizontal="center" vertical="center" wrapText="1"/>
      <protection locked="0"/>
    </xf>
    <xf numFmtId="9" fontId="27" fillId="0" borderId="6" xfId="1" applyFont="1" applyBorder="1" applyAlignment="1" applyProtection="1">
      <alignment horizontal="center" vertical="center"/>
      <protection locked="0"/>
    </xf>
    <xf numFmtId="0" fontId="28" fillId="2" borderId="5" xfId="0" applyFont="1" applyFill="1" applyBorder="1" applyAlignment="1">
      <alignment vertical="center"/>
    </xf>
    <xf numFmtId="0" fontId="28" fillId="0" borderId="0" xfId="0" applyFont="1" applyBorder="1" applyAlignment="1">
      <alignment horizontal="center" vertical="center"/>
    </xf>
    <xf numFmtId="0" fontId="27" fillId="0" borderId="0" xfId="0" applyFont="1" applyAlignment="1">
      <alignment horizontal="center" vertical="center"/>
    </xf>
    <xf numFmtId="0" fontId="27" fillId="0" borderId="0" xfId="0" applyFont="1" applyAlignment="1">
      <alignment horizontal="left" vertical="center"/>
    </xf>
    <xf numFmtId="0" fontId="27" fillId="0" borderId="0" xfId="0" applyFont="1" applyAlignment="1"/>
    <xf numFmtId="166" fontId="27" fillId="0" borderId="0" xfId="0" applyNumberFormat="1" applyFont="1" applyAlignment="1">
      <alignment vertical="center"/>
    </xf>
    <xf numFmtId="10" fontId="27" fillId="0" borderId="0" xfId="0" applyNumberFormat="1" applyFont="1" applyAlignment="1">
      <alignment horizontal="center" vertical="center"/>
    </xf>
    <xf numFmtId="167" fontId="27" fillId="0" borderId="0" xfId="0" applyNumberFormat="1" applyFont="1" applyAlignment="1"/>
    <xf numFmtId="10" fontId="27" fillId="0" borderId="0" xfId="0" applyNumberFormat="1" applyFont="1" applyAlignment="1">
      <alignment horizontal="center"/>
    </xf>
    <xf numFmtId="0" fontId="27" fillId="0" borderId="0" xfId="0" applyFont="1" applyBorder="1" applyAlignment="1"/>
    <xf numFmtId="0" fontId="28" fillId="3" borderId="2" xfId="0" applyFont="1" applyFill="1" applyBorder="1" applyAlignment="1">
      <alignment horizontal="left" vertical="center"/>
    </xf>
    <xf numFmtId="0" fontId="28" fillId="3" borderId="2" xfId="0" applyFont="1" applyFill="1" applyBorder="1" applyAlignment="1"/>
    <xf numFmtId="0" fontId="28" fillId="3" borderId="3" xfId="0" applyFont="1" applyFill="1" applyBorder="1" applyAlignment="1"/>
    <xf numFmtId="0" fontId="27" fillId="3" borderId="3" xfId="0" applyFont="1" applyFill="1" applyBorder="1" applyAlignment="1"/>
    <xf numFmtId="167" fontId="27" fillId="3" borderId="3" xfId="0" applyNumberFormat="1" applyFont="1" applyFill="1" applyBorder="1" applyAlignment="1"/>
    <xf numFmtId="167" fontId="28" fillId="3" borderId="4" xfId="0" applyNumberFormat="1" applyFont="1" applyFill="1" applyBorder="1" applyAlignment="1"/>
    <xf numFmtId="0" fontId="28" fillId="2" borderId="0" xfId="0" applyFont="1" applyFill="1" applyBorder="1" applyAlignment="1">
      <alignment horizontal="center" vertical="center"/>
    </xf>
    <xf numFmtId="0" fontId="27" fillId="8" borderId="0" xfId="0" applyFont="1" applyFill="1" applyAlignment="1">
      <alignment horizontal="center" vertical="center"/>
    </xf>
    <xf numFmtId="0" fontId="27" fillId="8" borderId="0" xfId="0" applyFont="1" applyFill="1" applyBorder="1" applyAlignment="1"/>
    <xf numFmtId="0" fontId="27" fillId="8" borderId="0" xfId="0" applyFont="1" applyFill="1" applyAlignment="1">
      <alignment horizontal="left" wrapText="1"/>
    </xf>
    <xf numFmtId="166" fontId="27" fillId="8" borderId="0" xfId="0" applyNumberFormat="1" applyFont="1" applyFill="1" applyAlignment="1">
      <alignment vertical="center"/>
    </xf>
    <xf numFmtId="166" fontId="28" fillId="3" borderId="3" xfId="0" applyNumberFormat="1" applyFont="1" applyFill="1" applyBorder="1" applyAlignment="1">
      <alignment vertical="center"/>
    </xf>
    <xf numFmtId="10" fontId="28" fillId="3" borderId="3" xfId="0" applyNumberFormat="1" applyFont="1" applyFill="1" applyBorder="1" applyAlignment="1">
      <alignment horizontal="center" vertical="center"/>
    </xf>
    <xf numFmtId="166" fontId="28" fillId="3" borderId="4" xfId="0" applyNumberFormat="1" applyFont="1" applyFill="1" applyBorder="1" applyAlignment="1">
      <alignment vertical="center"/>
    </xf>
    <xf numFmtId="0" fontId="28" fillId="0" borderId="6" xfId="0" applyFont="1" applyBorder="1" applyAlignment="1"/>
    <xf numFmtId="0" fontId="28" fillId="0" borderId="6" xfId="0" applyFont="1" applyBorder="1" applyAlignment="1">
      <alignment horizontal="center"/>
    </xf>
    <xf numFmtId="166" fontId="27" fillId="0" borderId="0" xfId="0" applyNumberFormat="1" applyFont="1" applyAlignment="1"/>
    <xf numFmtId="168" fontId="27" fillId="0" borderId="0" xfId="0" applyNumberFormat="1" applyFont="1" applyAlignment="1">
      <alignment horizontal="left" vertical="center"/>
    </xf>
    <xf numFmtId="0" fontId="27" fillId="0" borderId="0" xfId="0" applyFont="1" applyAlignment="1">
      <alignment vertical="center"/>
    </xf>
    <xf numFmtId="49" fontId="27" fillId="0" borderId="0" xfId="0" applyNumberFormat="1" applyFont="1" applyAlignment="1">
      <alignment horizontal="center"/>
    </xf>
    <xf numFmtId="0" fontId="27" fillId="0" borderId="0" xfId="0" applyFont="1" applyBorder="1" applyAlignment="1">
      <alignment vertical="center"/>
    </xf>
    <xf numFmtId="0" fontId="27" fillId="0" borderId="7" xfId="0" applyFont="1" applyBorder="1" applyAlignment="1">
      <alignment vertical="center"/>
    </xf>
    <xf numFmtId="170" fontId="27" fillId="0" borderId="7" xfId="1" applyNumberFormat="1" applyFont="1" applyBorder="1" applyAlignment="1">
      <alignment vertical="center"/>
    </xf>
    <xf numFmtId="0" fontId="0" fillId="0" borderId="0" xfId="0" applyFont="1"/>
    <xf numFmtId="49" fontId="27" fillId="3" borderId="2" xfId="0" applyNumberFormat="1" applyFont="1" applyFill="1" applyBorder="1" applyAlignment="1">
      <alignment horizontal="center"/>
    </xf>
    <xf numFmtId="0" fontId="27" fillId="3" borderId="3" xfId="0" applyFont="1" applyFill="1" applyBorder="1" applyAlignment="1">
      <alignment vertical="center"/>
    </xf>
    <xf numFmtId="165" fontId="28" fillId="3" borderId="4" xfId="0" applyNumberFormat="1" applyFont="1" applyFill="1" applyBorder="1" applyAlignment="1">
      <alignment vertical="center"/>
    </xf>
    <xf numFmtId="0" fontId="28" fillId="0" borderId="0" xfId="0" applyFont="1" applyAlignment="1">
      <alignment horizontal="left" vertical="center"/>
    </xf>
    <xf numFmtId="165" fontId="27" fillId="0" borderId="0" xfId="0" applyNumberFormat="1" applyFont="1" applyAlignment="1">
      <alignment vertical="center"/>
    </xf>
    <xf numFmtId="0" fontId="28" fillId="3" borderId="3" xfId="0" applyFont="1" applyFill="1" applyBorder="1" applyAlignment="1">
      <alignment horizontal="left" vertical="center"/>
    </xf>
    <xf numFmtId="0" fontId="28" fillId="2" borderId="0" xfId="0" applyFont="1" applyFill="1" applyAlignment="1">
      <alignment horizontal="center"/>
    </xf>
    <xf numFmtId="0" fontId="27" fillId="0" borderId="0" xfId="0" applyFont="1" applyAlignment="1">
      <alignment horizontal="left" wrapText="1"/>
    </xf>
    <xf numFmtId="0" fontId="27" fillId="0" borderId="0" xfId="0" applyFont="1" applyAlignment="1">
      <alignment horizontal="left" vertical="center" wrapText="1"/>
    </xf>
    <xf numFmtId="169" fontId="27" fillId="0" borderId="0" xfId="0" applyNumberFormat="1" applyFont="1" applyAlignment="1">
      <alignment vertical="center"/>
    </xf>
    <xf numFmtId="0" fontId="28" fillId="3" borderId="2" xfId="0" applyFont="1" applyFill="1" applyBorder="1" applyAlignment="1">
      <alignment vertical="center"/>
    </xf>
    <xf numFmtId="166" fontId="27" fillId="3" borderId="3" xfId="0" applyNumberFormat="1" applyFont="1" applyFill="1" applyBorder="1" applyAlignment="1">
      <alignment vertical="center"/>
    </xf>
    <xf numFmtId="0" fontId="28" fillId="2" borderId="0" xfId="0" applyFont="1" applyFill="1" applyBorder="1" applyAlignment="1">
      <alignment vertical="center"/>
    </xf>
    <xf numFmtId="0" fontId="27" fillId="0" borderId="0" xfId="0" applyFont="1" applyBorder="1" applyAlignment="1">
      <alignment horizontal="center" vertical="center"/>
    </xf>
    <xf numFmtId="166" fontId="27" fillId="0" borderId="0" xfId="0" applyNumberFormat="1" applyFont="1" applyBorder="1" applyAlignment="1">
      <alignment vertical="center"/>
    </xf>
    <xf numFmtId="166" fontId="27" fillId="0" borderId="6" xfId="0" applyNumberFormat="1" applyFont="1" applyBorder="1" applyAlignment="1" applyProtection="1">
      <alignment horizontal="center" vertical="center"/>
      <protection locked="0"/>
    </xf>
    <xf numFmtId="166" fontId="27" fillId="0" borderId="0" xfId="0" applyNumberFormat="1" applyFont="1" applyAlignment="1">
      <alignment horizontal="center" vertical="center"/>
    </xf>
    <xf numFmtId="0" fontId="28" fillId="0" borderId="0" xfId="0" applyFont="1" applyAlignment="1">
      <alignment horizontal="center" vertical="center"/>
    </xf>
    <xf numFmtId="10" fontId="28" fillId="0" borderId="0" xfId="0" applyNumberFormat="1" applyFont="1" applyAlignment="1">
      <alignment horizontal="center" vertical="center"/>
    </xf>
    <xf numFmtId="0" fontId="27" fillId="0" borderId="0" xfId="0" applyFont="1" applyAlignment="1">
      <alignment horizontal="right" vertical="center"/>
    </xf>
    <xf numFmtId="0" fontId="27" fillId="2" borderId="0" xfId="0" applyFont="1" applyFill="1" applyBorder="1" applyAlignment="1">
      <alignment horizontal="center"/>
    </xf>
    <xf numFmtId="0" fontId="28" fillId="0" borderId="0" xfId="0" applyFont="1" applyAlignment="1">
      <alignment horizontal="center"/>
    </xf>
    <xf numFmtId="165" fontId="28" fillId="3" borderId="3" xfId="0" applyNumberFormat="1" applyFont="1" applyFill="1" applyBorder="1" applyAlignment="1"/>
    <xf numFmtId="0" fontId="27" fillId="2" borderId="0" xfId="0" applyFont="1" applyFill="1" applyBorder="1" applyAlignment="1"/>
    <xf numFmtId="0" fontId="28" fillId="0" borderId="0" xfId="0" applyFont="1" applyAlignment="1">
      <alignment vertical="center"/>
    </xf>
    <xf numFmtId="0" fontId="28" fillId="0" borderId="0" xfId="0" applyFont="1" applyAlignment="1">
      <alignment horizontal="center" vertical="center" wrapText="1"/>
    </xf>
    <xf numFmtId="10" fontId="28" fillId="0" borderId="0" xfId="0" applyNumberFormat="1" applyFont="1" applyAlignment="1">
      <alignment horizontal="center" vertical="center" wrapText="1"/>
    </xf>
    <xf numFmtId="4" fontId="28" fillId="0" borderId="0" xfId="0" applyNumberFormat="1" applyFont="1" applyAlignment="1">
      <alignment horizontal="center" vertical="center" wrapText="1"/>
    </xf>
    <xf numFmtId="4" fontId="28" fillId="0" borderId="0" xfId="0" applyNumberFormat="1" applyFont="1" applyAlignment="1">
      <alignment horizontal="center" vertical="center"/>
    </xf>
    <xf numFmtId="0" fontId="27" fillId="0" borderId="0" xfId="0" applyFont="1" applyAlignment="1">
      <alignment vertical="center" wrapText="1"/>
    </xf>
    <xf numFmtId="167" fontId="27" fillId="0" borderId="0" xfId="0" applyNumberFormat="1" applyFont="1" applyAlignment="1">
      <alignment horizontal="center" vertical="center"/>
    </xf>
    <xf numFmtId="167" fontId="27" fillId="0" borderId="0" xfId="0" applyNumberFormat="1" applyFont="1" applyAlignment="1">
      <alignment vertical="center"/>
    </xf>
    <xf numFmtId="0" fontId="28" fillId="0" borderId="0" xfId="0" applyFont="1" applyAlignment="1"/>
    <xf numFmtId="0" fontId="28" fillId="0" borderId="0" xfId="0" applyFont="1" applyAlignment="1">
      <alignment wrapText="1"/>
    </xf>
    <xf numFmtId="167" fontId="28" fillId="0" borderId="0" xfId="0" applyNumberFormat="1" applyFont="1" applyAlignment="1">
      <alignment horizontal="center" vertical="center"/>
    </xf>
    <xf numFmtId="0" fontId="27" fillId="0" borderId="0" xfId="0" applyFont="1" applyAlignment="1">
      <alignment horizontal="center" wrapText="1"/>
    </xf>
    <xf numFmtId="0" fontId="27" fillId="0" borderId="0" xfId="0" applyFont="1" applyAlignment="1">
      <alignment wrapText="1"/>
    </xf>
    <xf numFmtId="166" fontId="27" fillId="0" borderId="0" xfId="0" applyNumberFormat="1" applyFont="1" applyAlignment="1" applyProtection="1">
      <alignment vertical="center"/>
      <protection locked="0"/>
    </xf>
    <xf numFmtId="0" fontId="27" fillId="0" borderId="1" xfId="0" applyFont="1" applyBorder="1" applyAlignment="1" applyProtection="1">
      <alignment horizontal="center"/>
      <protection locked="0"/>
    </xf>
    <xf numFmtId="10" fontId="29" fillId="0" borderId="1" xfId="0" applyNumberFormat="1" applyFont="1" applyBorder="1" applyAlignment="1" applyProtection="1">
      <alignment horizontal="center"/>
      <protection locked="0"/>
    </xf>
    <xf numFmtId="166" fontId="27" fillId="0" borderId="0" xfId="0" applyNumberFormat="1" applyFont="1" applyAlignment="1" applyProtection="1"/>
    <xf numFmtId="0" fontId="27" fillId="0" borderId="1" xfId="0" applyFont="1" applyBorder="1" applyAlignment="1">
      <alignment horizontal="center"/>
    </xf>
    <xf numFmtId="166" fontId="27" fillId="0" borderId="1" xfId="0" applyNumberFormat="1" applyFont="1" applyBorder="1" applyAlignment="1">
      <alignment horizontal="center" vertical="center"/>
    </xf>
    <xf numFmtId="10" fontId="27" fillId="0" borderId="1" xfId="0" applyNumberFormat="1" applyFont="1" applyBorder="1" applyAlignment="1" applyProtection="1">
      <protection locked="0"/>
    </xf>
    <xf numFmtId="165" fontId="27" fillId="0" borderId="1" xfId="0" applyNumberFormat="1" applyFont="1" applyBorder="1" applyAlignment="1" applyProtection="1">
      <alignment horizontal="center"/>
      <protection locked="0"/>
    </xf>
    <xf numFmtId="166" fontId="27" fillId="0" borderId="0" xfId="0" applyNumberFormat="1" applyFont="1" applyAlignment="1" applyProtection="1">
      <protection locked="0"/>
    </xf>
    <xf numFmtId="0" fontId="27" fillId="3" borderId="2" xfId="0" applyFont="1" applyFill="1" applyBorder="1" applyAlignment="1">
      <alignment horizontal="center" vertical="center"/>
    </xf>
    <xf numFmtId="0" fontId="27" fillId="8" borderId="0" xfId="0" applyFont="1" applyFill="1" applyAlignment="1">
      <alignment wrapText="1"/>
    </xf>
    <xf numFmtId="0" fontId="27" fillId="8" borderId="0" xfId="0" applyFont="1" applyFill="1" applyAlignment="1"/>
    <xf numFmtId="0" fontId="27" fillId="8" borderId="1" xfId="0" applyFont="1" applyFill="1" applyBorder="1" applyAlignment="1">
      <alignment horizontal="center"/>
    </xf>
    <xf numFmtId="166" fontId="27" fillId="8" borderId="1" xfId="0" applyNumberFormat="1" applyFont="1" applyFill="1" applyBorder="1" applyAlignment="1">
      <alignment horizontal="center" vertical="center"/>
    </xf>
    <xf numFmtId="166" fontId="27" fillId="8" borderId="0" xfId="0" applyNumberFormat="1" applyFont="1" applyFill="1" applyAlignment="1"/>
    <xf numFmtId="166" fontId="27" fillId="8" borderId="0" xfId="0" applyNumberFormat="1" applyFont="1" applyFill="1" applyAlignment="1" applyProtection="1"/>
    <xf numFmtId="10" fontId="6" fillId="8" borderId="0" xfId="0" applyNumberFormat="1" applyFont="1" applyFill="1" applyAlignment="1" applyProtection="1">
      <alignment horizontal="center" vertical="center"/>
      <protection locked="0"/>
    </xf>
    <xf numFmtId="44" fontId="30" fillId="0" borderId="0" xfId="2" applyFont="1"/>
    <xf numFmtId="173" fontId="2" fillId="0" borderId="0" xfId="0" applyNumberFormat="1" applyFont="1" applyAlignment="1">
      <alignment horizontal="center" vertical="center"/>
    </xf>
    <xf numFmtId="0" fontId="23" fillId="6" borderId="6" xfId="0" applyFont="1" applyFill="1" applyBorder="1" applyAlignment="1">
      <alignment horizontal="center" vertical="center"/>
    </xf>
    <xf numFmtId="0" fontId="0" fillId="8" borderId="6" xfId="0" applyFill="1" applyBorder="1" applyAlignment="1">
      <alignment horizontal="center"/>
    </xf>
    <xf numFmtId="172" fontId="0" fillId="8" borderId="6" xfId="0" applyNumberFormat="1" applyFill="1" applyBorder="1" applyAlignment="1">
      <alignment horizontal="center"/>
    </xf>
    <xf numFmtId="0" fontId="24" fillId="8" borderId="6" xfId="0" applyFont="1" applyFill="1" applyBorder="1" applyAlignment="1">
      <alignment horizontal="justify" vertical="center" wrapText="1"/>
    </xf>
    <xf numFmtId="172" fontId="23" fillId="6" borderId="6" xfId="0" applyNumberFormat="1" applyFont="1" applyFill="1" applyBorder="1" applyAlignment="1">
      <alignment horizontal="center" wrapText="1"/>
    </xf>
    <xf numFmtId="0" fontId="23" fillId="6" borderId="6" xfId="0" applyFont="1" applyFill="1" applyBorder="1" applyAlignment="1">
      <alignment horizontal="center" vertical="center" wrapText="1"/>
    </xf>
    <xf numFmtId="0" fontId="0" fillId="8" borderId="6" xfId="0" applyFill="1" applyBorder="1"/>
    <xf numFmtId="172" fontId="0" fillId="0" borderId="6" xfId="0" applyNumberFormat="1" applyBorder="1"/>
    <xf numFmtId="0" fontId="9" fillId="4" borderId="0" xfId="0" applyFont="1" applyFill="1" applyBorder="1" applyAlignment="1">
      <alignment horizontal="center" vertical="center"/>
    </xf>
    <xf numFmtId="0" fontId="2" fillId="0" borderId="6" xfId="0" applyFont="1" applyBorder="1" applyAlignment="1">
      <alignment horizontal="center" vertical="center" wrapText="1"/>
    </xf>
    <xf numFmtId="0" fontId="3" fillId="4" borderId="0" xfId="0" applyFont="1" applyFill="1" applyBorder="1" applyAlignment="1">
      <alignment horizontal="center" vertical="center"/>
    </xf>
    <xf numFmtId="49" fontId="2" fillId="0" borderId="0" xfId="0" applyNumberFormat="1" applyFont="1" applyBorder="1" applyAlignment="1">
      <alignment horizontal="center" vertical="center"/>
    </xf>
    <xf numFmtId="4" fontId="6" fillId="0" borderId="6" xfId="0" applyNumberFormat="1"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165" fontId="6" fillId="0" borderId="6" xfId="0" applyNumberFormat="1" applyFont="1" applyBorder="1" applyAlignment="1" applyProtection="1">
      <alignment horizontal="center" vertical="center"/>
      <protection locked="0"/>
    </xf>
    <xf numFmtId="168" fontId="2" fillId="0" borderId="6" xfId="0" applyNumberFormat="1" applyFont="1" applyBorder="1" applyAlignment="1">
      <alignment horizontal="center" vertical="center"/>
    </xf>
    <xf numFmtId="0" fontId="2" fillId="0" borderId="0" xfId="0" applyFont="1" applyBorder="1" applyAlignment="1">
      <alignment horizontal="left" vertical="center"/>
    </xf>
    <xf numFmtId="0" fontId="3" fillId="3" borderId="3" xfId="0" applyFont="1" applyFill="1" applyBorder="1" applyAlignment="1">
      <alignment horizontal="left" vertical="center"/>
    </xf>
    <xf numFmtId="0" fontId="3" fillId="4" borderId="5" xfId="0" applyFont="1" applyFill="1" applyBorder="1" applyAlignment="1">
      <alignment horizontal="center"/>
    </xf>
    <xf numFmtId="0" fontId="5" fillId="0" borderId="1" xfId="0" applyFont="1" applyBorder="1" applyAlignment="1">
      <alignment horizontal="center" wrapText="1"/>
    </xf>
    <xf numFmtId="0" fontId="2" fillId="0" borderId="0" xfId="0" applyFont="1" applyBorder="1" applyAlignment="1">
      <alignment horizontal="left" vertical="center" wrapText="1"/>
    </xf>
    <xf numFmtId="0" fontId="9" fillId="0" borderId="0" xfId="0" applyFont="1" applyBorder="1" applyAlignment="1">
      <alignment horizontal="center" vertical="center"/>
    </xf>
    <xf numFmtId="0" fontId="6" fillId="0" borderId="0" xfId="0" applyFont="1" applyBorder="1" applyAlignment="1" applyProtection="1">
      <alignment horizontal="left" vertical="center"/>
      <protection locked="0"/>
    </xf>
    <xf numFmtId="165" fontId="6" fillId="0" borderId="0" xfId="0" applyNumberFormat="1" applyFont="1" applyBorder="1" applyAlignment="1" applyProtection="1">
      <alignment horizontal="left" vertical="center"/>
      <protection locked="0"/>
    </xf>
    <xf numFmtId="0" fontId="6" fillId="0" borderId="0" xfId="0" applyFont="1" applyBorder="1" applyAlignment="1" applyProtection="1">
      <alignment horizontal="center" vertical="center" wrapText="1"/>
      <protection locked="0"/>
    </xf>
    <xf numFmtId="49" fontId="6" fillId="0" borderId="0" xfId="0" applyNumberFormat="1" applyFont="1" applyBorder="1" applyAlignment="1" applyProtection="1">
      <alignment horizontal="left" vertical="center"/>
      <protection locked="0"/>
    </xf>
    <xf numFmtId="0" fontId="3" fillId="4" borderId="5" xfId="0" applyFont="1" applyFill="1" applyBorder="1" applyAlignment="1">
      <alignment horizontal="center" vertical="center"/>
    </xf>
    <xf numFmtId="0" fontId="3" fillId="0" borderId="0" xfId="0" applyFont="1" applyBorder="1" applyAlignment="1">
      <alignment horizontal="center" vertical="center"/>
    </xf>
    <xf numFmtId="0" fontId="4" fillId="0" borderId="0" xfId="0" applyFont="1" applyBorder="1" applyAlignment="1" applyProtection="1">
      <alignment horizontal="center" vertical="center" wrapText="1"/>
      <protection locked="0"/>
    </xf>
    <xf numFmtId="0" fontId="5" fillId="0" borderId="0" xfId="0" applyFont="1" applyBorder="1" applyAlignment="1">
      <alignment horizontal="center" vertical="center"/>
    </xf>
    <xf numFmtId="0" fontId="6" fillId="0" borderId="0" xfId="0" applyFont="1" applyBorder="1" applyAlignment="1" applyProtection="1">
      <alignment horizontal="left" vertical="center" wrapText="1"/>
      <protection locked="0"/>
    </xf>
    <xf numFmtId="0" fontId="3" fillId="0" borderId="0" xfId="0" applyFont="1" applyBorder="1" applyAlignment="1">
      <alignment horizontal="center" vertical="center" wrapText="1"/>
    </xf>
    <xf numFmtId="0" fontId="2" fillId="0" borderId="0" xfId="0" applyFont="1" applyBorder="1" applyAlignment="1">
      <alignment horizontal="center" vertical="center" wrapText="1"/>
    </xf>
    <xf numFmtId="14" fontId="6" fillId="0" borderId="0" xfId="0" applyNumberFormat="1" applyFont="1" applyBorder="1" applyAlignment="1" applyProtection="1">
      <alignment horizontal="left" vertical="center"/>
      <protection locked="0"/>
    </xf>
    <xf numFmtId="0" fontId="28" fillId="4" borderId="0" xfId="0" applyFont="1" applyFill="1" applyBorder="1" applyAlignment="1">
      <alignment horizontal="center" vertical="center"/>
    </xf>
    <xf numFmtId="4" fontId="27" fillId="0" borderId="6" xfId="0" applyNumberFormat="1" applyFont="1" applyBorder="1" applyAlignment="1" applyProtection="1">
      <alignment horizontal="center" vertical="center"/>
      <protection locked="0"/>
    </xf>
    <xf numFmtId="0" fontId="27" fillId="0" borderId="6" xfId="0" applyFont="1" applyBorder="1" applyAlignment="1" applyProtection="1">
      <alignment horizontal="center" vertical="center"/>
      <protection locked="0"/>
    </xf>
    <xf numFmtId="165" fontId="27" fillId="0" borderId="6" xfId="0" applyNumberFormat="1" applyFont="1" applyBorder="1" applyAlignment="1" applyProtection="1">
      <alignment horizontal="center" vertical="center"/>
      <protection locked="0"/>
    </xf>
    <xf numFmtId="0" fontId="27" fillId="0" borderId="1" xfId="0" applyFont="1" applyBorder="1" applyAlignment="1">
      <alignment horizontal="center" wrapText="1"/>
    </xf>
    <xf numFmtId="0" fontId="28" fillId="4" borderId="5" xfId="0" applyFont="1" applyFill="1" applyBorder="1" applyAlignment="1">
      <alignment horizontal="center" vertical="center"/>
    </xf>
    <xf numFmtId="0" fontId="28" fillId="0" borderId="0" xfId="0" applyFont="1" applyBorder="1" applyAlignment="1">
      <alignment horizontal="center" vertical="center"/>
    </xf>
    <xf numFmtId="49" fontId="27" fillId="0" borderId="0" xfId="0" applyNumberFormat="1" applyFont="1" applyBorder="1" applyAlignment="1">
      <alignment horizontal="center" vertical="center"/>
    </xf>
    <xf numFmtId="168" fontId="27" fillId="0" borderId="6" xfId="0" applyNumberFormat="1" applyFont="1" applyBorder="1" applyAlignment="1">
      <alignment horizontal="center" vertical="center"/>
    </xf>
    <xf numFmtId="0" fontId="27" fillId="0" borderId="0" xfId="0" applyFont="1" applyBorder="1" applyAlignment="1">
      <alignment horizontal="left" vertical="center"/>
    </xf>
    <xf numFmtId="0" fontId="28" fillId="3" borderId="3" xfId="0" applyFont="1" applyFill="1" applyBorder="1" applyAlignment="1">
      <alignment horizontal="left" vertical="center"/>
    </xf>
    <xf numFmtId="0" fontId="28" fillId="4" borderId="5" xfId="0" applyFont="1" applyFill="1" applyBorder="1" applyAlignment="1">
      <alignment horizontal="center"/>
    </xf>
    <xf numFmtId="0" fontId="27" fillId="0" borderId="6" xfId="0" applyFont="1" applyBorder="1" applyAlignment="1">
      <alignment horizontal="center" vertical="center" wrapText="1"/>
    </xf>
    <xf numFmtId="0" fontId="23" fillId="6" borderId="6" xfId="0" applyFont="1" applyFill="1" applyBorder="1" applyAlignment="1">
      <alignment horizontal="center"/>
    </xf>
    <xf numFmtId="0" fontId="23" fillId="6" borderId="2" xfId="0" applyFont="1" applyFill="1" applyBorder="1" applyAlignment="1">
      <alignment horizontal="center"/>
    </xf>
    <xf numFmtId="0" fontId="23" fillId="6" borderId="3" xfId="0" applyFont="1" applyFill="1" applyBorder="1" applyAlignment="1">
      <alignment horizontal="center"/>
    </xf>
    <xf numFmtId="0" fontId="23" fillId="6" borderId="4" xfId="0" applyFont="1" applyFill="1" applyBorder="1" applyAlignment="1">
      <alignment horizontal="center"/>
    </xf>
    <xf numFmtId="0" fontId="0" fillId="8" borderId="6" xfId="0" applyFill="1" applyBorder="1" applyAlignment="1">
      <alignment horizontal="center" vertical="center"/>
    </xf>
    <xf numFmtId="0" fontId="23" fillId="6" borderId="6" xfId="0" applyFont="1" applyFill="1" applyBorder="1" applyAlignment="1">
      <alignment horizontal="center" vertical="center"/>
    </xf>
  </cellXfs>
  <cellStyles count="3">
    <cellStyle name="Moeda" xfId="2" builtinId="4"/>
    <cellStyle name="Normal" xfId="0" builtinId="0"/>
    <cellStyle name="Porcentagem"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0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0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9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9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A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A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B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B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52</xdr:row>
      <xdr:rowOff>193758</xdr:rowOff>
    </xdr:to>
    <xdr:sp macro="" textlink="">
      <xdr:nvSpPr>
        <xdr:cNvPr id="2" name="CustomShape 1" hidden="1">
          <a:extLst>
            <a:ext uri="{FF2B5EF4-FFF2-40B4-BE49-F238E27FC236}">
              <a16:creationId xmlns:a16="http://schemas.microsoft.com/office/drawing/2014/main" xmlns="" id="{00000000-0008-0000-0C00-000002000000}"/>
            </a:ext>
          </a:extLst>
        </xdr:cNvPr>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52</xdr:row>
      <xdr:rowOff>193758</xdr:rowOff>
    </xdr:to>
    <xdr:sp macro="" textlink="">
      <xdr:nvSpPr>
        <xdr:cNvPr id="3" name="CustomShape 1" hidden="1">
          <a:extLst>
            <a:ext uri="{FF2B5EF4-FFF2-40B4-BE49-F238E27FC236}">
              <a16:creationId xmlns:a16="http://schemas.microsoft.com/office/drawing/2014/main" xmlns="" id="{00000000-0008-0000-0C00-000003000000}"/>
            </a:ext>
          </a:extLst>
        </xdr:cNvPr>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F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F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E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E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D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D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1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1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1</xdr:col>
      <xdr:colOff>2965509</xdr:colOff>
      <xdr:row>52</xdr:row>
      <xdr:rowOff>193758</xdr:rowOff>
    </xdr:to>
    <xdr:sp macro="" textlink="">
      <xdr:nvSpPr>
        <xdr:cNvPr id="2" name="CustomShape 1" hidden="1">
          <a:extLst>
            <a:ext uri="{FF2B5EF4-FFF2-40B4-BE49-F238E27FC236}">
              <a16:creationId xmlns:a16="http://schemas.microsoft.com/office/drawing/2014/main" xmlns="" id="{00000000-0008-0000-0200-000002000000}"/>
            </a:ext>
          </a:extLst>
        </xdr:cNvPr>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1</xdr:col>
      <xdr:colOff>2965509</xdr:colOff>
      <xdr:row>52</xdr:row>
      <xdr:rowOff>193758</xdr:rowOff>
    </xdr:to>
    <xdr:sp macro="" textlink="">
      <xdr:nvSpPr>
        <xdr:cNvPr id="3" name="CustomShape 1" hidden="1">
          <a:extLst>
            <a:ext uri="{FF2B5EF4-FFF2-40B4-BE49-F238E27FC236}">
              <a16:creationId xmlns:a16="http://schemas.microsoft.com/office/drawing/2014/main" xmlns="" id="{00000000-0008-0000-0200-000003000000}"/>
            </a:ext>
          </a:extLst>
        </xdr:cNvPr>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3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3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4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4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5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5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6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6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52</xdr:row>
      <xdr:rowOff>193758</xdr:rowOff>
    </xdr:to>
    <xdr:sp macro="" textlink="">
      <xdr:nvSpPr>
        <xdr:cNvPr id="2" name="CustomShape 1" hidden="1">
          <a:extLst>
            <a:ext uri="{FF2B5EF4-FFF2-40B4-BE49-F238E27FC236}">
              <a16:creationId xmlns:a16="http://schemas.microsoft.com/office/drawing/2014/main" xmlns="" id="{00000000-0008-0000-0700-000002000000}"/>
            </a:ext>
          </a:extLst>
        </xdr:cNvPr>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52</xdr:row>
      <xdr:rowOff>193758</xdr:rowOff>
    </xdr:to>
    <xdr:sp macro="" textlink="">
      <xdr:nvSpPr>
        <xdr:cNvPr id="3" name="CustomShape 1" hidden="1">
          <a:extLst>
            <a:ext uri="{FF2B5EF4-FFF2-40B4-BE49-F238E27FC236}">
              <a16:creationId xmlns:a16="http://schemas.microsoft.com/office/drawing/2014/main" xmlns="" id="{00000000-0008-0000-0700-000003000000}"/>
            </a:ext>
          </a:extLst>
        </xdr:cNvPr>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a:extLst>
            <a:ext uri="{FF2B5EF4-FFF2-40B4-BE49-F238E27FC236}">
              <a16:creationId xmlns:a16="http://schemas.microsoft.com/office/drawing/2014/main" xmlns="" id="{00000000-0008-0000-0800-000002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a:extLst>
            <a:ext uri="{FF2B5EF4-FFF2-40B4-BE49-F238E27FC236}">
              <a16:creationId xmlns:a16="http://schemas.microsoft.com/office/drawing/2014/main" xmlns="" id="{00000000-0008-0000-0800-000003000000}"/>
            </a:ext>
          </a:extLst>
        </xdr:cNvPr>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37"/>
  <sheetViews>
    <sheetView topLeftCell="A55" zoomScale="60" zoomScaleNormal="60" workbookViewId="0">
      <selection activeCell="H101" sqref="H101:H105"/>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17.1406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273" t="s">
        <v>3</v>
      </c>
      <c r="B3" s="273"/>
      <c r="C3" s="273"/>
      <c r="D3" s="273"/>
      <c r="E3" s="273"/>
      <c r="F3" s="273"/>
      <c r="G3" s="273"/>
      <c r="H3" s="273"/>
    </row>
    <row r="4" spans="1:8" ht="15.75" x14ac:dyDescent="0.25">
      <c r="A4" s="6" t="s">
        <v>4</v>
      </c>
      <c r="B4" s="7" t="s">
        <v>5</v>
      </c>
      <c r="C4" s="7"/>
      <c r="D4" s="8"/>
      <c r="E4" s="291" t="s">
        <v>6</v>
      </c>
      <c r="F4" s="291"/>
      <c r="G4" s="291"/>
      <c r="H4" s="291"/>
    </row>
    <row r="5" spans="1:8" ht="15.75" x14ac:dyDescent="0.25">
      <c r="A5" s="6" t="s">
        <v>7</v>
      </c>
      <c r="B5" s="7" t="s">
        <v>8</v>
      </c>
      <c r="C5" s="7"/>
      <c r="D5" s="9"/>
      <c r="E5" s="291"/>
      <c r="F5" s="291"/>
      <c r="G5" s="291"/>
      <c r="H5" s="291"/>
    </row>
    <row r="6" spans="1:8" ht="15.75" x14ac:dyDescent="0.25">
      <c r="A6" s="6" t="s">
        <v>9</v>
      </c>
      <c r="B6" s="7" t="s">
        <v>10</v>
      </c>
      <c r="C6" s="7"/>
      <c r="D6" s="10" t="s">
        <v>11</v>
      </c>
      <c r="E6" s="291"/>
      <c r="F6" s="291"/>
      <c r="G6" s="291"/>
      <c r="H6" s="291"/>
    </row>
    <row r="7" spans="1:8" ht="15.75" x14ac:dyDescent="0.25">
      <c r="A7" s="292"/>
      <c r="B7" s="292"/>
      <c r="C7" s="292"/>
      <c r="D7" s="292"/>
      <c r="E7" s="11"/>
      <c r="F7" s="11"/>
      <c r="G7" s="11"/>
      <c r="H7" s="11"/>
    </row>
    <row r="8" spans="1:8" ht="15.75" x14ac:dyDescent="0.25">
      <c r="A8" s="273" t="s">
        <v>12</v>
      </c>
      <c r="B8" s="273"/>
      <c r="C8" s="273"/>
      <c r="D8" s="273"/>
      <c r="E8" s="273"/>
      <c r="F8" s="273"/>
      <c r="G8" s="273"/>
      <c r="H8" s="273"/>
    </row>
    <row r="9" spans="1:8" x14ac:dyDescent="0.25">
      <c r="A9" s="12" t="s">
        <v>4</v>
      </c>
      <c r="B9" s="13" t="s">
        <v>13</v>
      </c>
      <c r="C9" s="13"/>
      <c r="D9" s="285" t="s">
        <v>14</v>
      </c>
      <c r="E9" s="285"/>
      <c r="F9" s="285"/>
      <c r="G9" s="285"/>
      <c r="H9" s="285"/>
    </row>
    <row r="10" spans="1:8" x14ac:dyDescent="0.25">
      <c r="A10" s="12" t="s">
        <v>7</v>
      </c>
      <c r="B10" s="13" t="s">
        <v>15</v>
      </c>
      <c r="C10" s="13"/>
      <c r="D10" s="293" t="s">
        <v>154</v>
      </c>
      <c r="E10" s="293"/>
      <c r="F10" s="293"/>
      <c r="G10" s="293"/>
      <c r="H10" s="293"/>
    </row>
    <row r="11" spans="1:8" x14ac:dyDescent="0.25">
      <c r="A11" s="12" t="s">
        <v>9</v>
      </c>
      <c r="B11" s="13" t="s">
        <v>16</v>
      </c>
      <c r="C11" s="13"/>
      <c r="D11" s="293" t="s">
        <v>173</v>
      </c>
      <c r="E11" s="293"/>
      <c r="F11" s="293"/>
      <c r="G11" s="293"/>
      <c r="H11" s="293"/>
    </row>
    <row r="12" spans="1:8" x14ac:dyDescent="0.25">
      <c r="A12" s="12" t="s">
        <v>17</v>
      </c>
      <c r="B12" s="13" t="s">
        <v>18</v>
      </c>
      <c r="C12" s="13"/>
      <c r="D12" s="293">
        <v>12</v>
      </c>
      <c r="E12" s="293"/>
      <c r="F12" s="293"/>
      <c r="G12" s="293"/>
      <c r="H12" s="293"/>
    </row>
    <row r="13" spans="1:8" x14ac:dyDescent="0.25">
      <c r="A13" s="12"/>
      <c r="B13" s="13"/>
      <c r="C13" s="13"/>
      <c r="D13" s="14"/>
      <c r="E13" s="14"/>
      <c r="F13" s="14"/>
      <c r="G13" s="14"/>
      <c r="H13" s="15"/>
    </row>
    <row r="14" spans="1:8" ht="15.75" x14ac:dyDescent="0.25">
      <c r="A14" s="273" t="s">
        <v>19</v>
      </c>
      <c r="B14" s="273"/>
      <c r="C14" s="273"/>
      <c r="D14" s="273"/>
      <c r="E14" s="273"/>
      <c r="F14" s="273"/>
      <c r="G14" s="273"/>
      <c r="H14" s="273"/>
    </row>
    <row r="15" spans="1:8" ht="15.75" x14ac:dyDescent="0.25">
      <c r="A15" s="12"/>
      <c r="B15" s="16" t="s">
        <v>20</v>
      </c>
      <c r="C15" s="16"/>
      <c r="D15" s="17" t="s">
        <v>21</v>
      </c>
      <c r="E15" s="294" t="s">
        <v>22</v>
      </c>
      <c r="F15" s="294"/>
      <c r="G15" s="294"/>
      <c r="H15" s="294"/>
    </row>
    <row r="16" spans="1:8" x14ac:dyDescent="0.25">
      <c r="A16" s="12" t="s">
        <v>4</v>
      </c>
      <c r="B16" s="18" t="s">
        <v>172</v>
      </c>
      <c r="C16" s="19"/>
      <c r="D16" s="20" t="s">
        <v>23</v>
      </c>
      <c r="E16" s="295">
        <v>1</v>
      </c>
      <c r="F16" s="295"/>
      <c r="G16" s="295"/>
      <c r="H16" s="295"/>
    </row>
    <row r="17" spans="1:9" x14ac:dyDescent="0.25">
      <c r="A17" s="12" t="s">
        <v>7</v>
      </c>
      <c r="B17" s="13"/>
      <c r="C17" s="13"/>
      <c r="D17" s="21"/>
      <c r="E17" s="283"/>
      <c r="F17" s="283"/>
      <c r="G17" s="283"/>
      <c r="H17" s="283"/>
    </row>
    <row r="18" spans="1:9" x14ac:dyDescent="0.25">
      <c r="A18" s="12" t="s">
        <v>9</v>
      </c>
      <c r="B18" s="13"/>
      <c r="C18" s="13"/>
      <c r="D18" s="21"/>
      <c r="E18" s="283"/>
      <c r="F18" s="283"/>
      <c r="G18" s="283"/>
      <c r="H18" s="283"/>
    </row>
    <row r="19" spans="1:9" ht="15.75" x14ac:dyDescent="0.25">
      <c r="A19" s="110"/>
      <c r="B19" s="273" t="s">
        <v>24</v>
      </c>
      <c r="C19" s="273"/>
      <c r="D19" s="273"/>
      <c r="E19" s="273"/>
      <c r="F19" s="273"/>
      <c r="G19" s="273"/>
      <c r="H19" s="273"/>
    </row>
    <row r="20" spans="1:9" ht="15.75" x14ac:dyDescent="0.25">
      <c r="A20" s="284" t="s">
        <v>25</v>
      </c>
      <c r="B20" s="284"/>
      <c r="C20" s="284"/>
      <c r="D20" s="284"/>
      <c r="E20" s="284"/>
      <c r="F20" s="284"/>
      <c r="G20" s="284"/>
      <c r="H20" s="284"/>
    </row>
    <row r="21" spans="1:9" x14ac:dyDescent="0.25">
      <c r="A21" s="12">
        <v>1</v>
      </c>
      <c r="B21" s="13" t="s">
        <v>20</v>
      </c>
      <c r="C21" s="13"/>
      <c r="D21" s="285" t="s">
        <v>168</v>
      </c>
      <c r="E21" s="285"/>
      <c r="F21" s="285"/>
      <c r="G21" s="285"/>
      <c r="H21" s="285"/>
    </row>
    <row r="22" spans="1:9" x14ac:dyDescent="0.25">
      <c r="A22" s="12">
        <v>2</v>
      </c>
      <c r="B22" s="13" t="s">
        <v>26</v>
      </c>
      <c r="C22" s="13"/>
      <c r="D22" s="286" t="s">
        <v>169</v>
      </c>
      <c r="E22" s="286"/>
      <c r="F22" s="286"/>
      <c r="G22" s="286"/>
      <c r="H22" s="286"/>
    </row>
    <row r="23" spans="1:9" x14ac:dyDescent="0.25">
      <c r="A23" s="12">
        <v>3</v>
      </c>
      <c r="B23" s="13" t="s">
        <v>27</v>
      </c>
      <c r="C23" s="13"/>
      <c r="D23" s="22">
        <v>1298.78</v>
      </c>
      <c r="E23" s="23"/>
      <c r="F23" s="23"/>
      <c r="G23" s="23"/>
      <c r="H23" s="23"/>
    </row>
    <row r="24" spans="1:9" ht="30" x14ac:dyDescent="0.25">
      <c r="A24" s="1">
        <v>4</v>
      </c>
      <c r="B24" s="24" t="s">
        <v>28</v>
      </c>
      <c r="C24" s="24"/>
      <c r="D24" s="287" t="s">
        <v>157</v>
      </c>
      <c r="E24" s="287"/>
      <c r="F24" s="287"/>
      <c r="G24" s="287"/>
      <c r="H24" s="287"/>
    </row>
    <row r="25" spans="1:9" x14ac:dyDescent="0.25">
      <c r="A25" s="1">
        <v>5</v>
      </c>
      <c r="B25" s="25" t="s">
        <v>29</v>
      </c>
      <c r="C25" s="25"/>
      <c r="D25" s="288" t="s">
        <v>158</v>
      </c>
      <c r="E25" s="288"/>
      <c r="F25" s="288"/>
      <c r="G25" s="288"/>
      <c r="H25" s="288"/>
    </row>
    <row r="26" spans="1:9" ht="15.75" x14ac:dyDescent="0.25">
      <c r="A26" s="26">
        <v>1</v>
      </c>
      <c r="B26" s="271" t="s">
        <v>30</v>
      </c>
      <c r="C26" s="271"/>
      <c r="D26" s="271"/>
      <c r="E26" s="271"/>
      <c r="F26" s="271"/>
      <c r="G26" s="271"/>
      <c r="H26" s="271"/>
    </row>
    <row r="27" spans="1:9" ht="15.75" x14ac:dyDescent="0.25">
      <c r="A27" s="1" t="s">
        <v>4</v>
      </c>
      <c r="B27" s="27" t="s">
        <v>31</v>
      </c>
      <c r="C27" s="27"/>
      <c r="D27" s="27"/>
      <c r="G27" s="28"/>
      <c r="H27" s="29">
        <v>1298.78</v>
      </c>
    </row>
    <row r="28" spans="1:9" ht="15.75" x14ac:dyDescent="0.25">
      <c r="A28" s="1" t="s">
        <v>7</v>
      </c>
      <c r="B28" s="6" t="s">
        <v>32</v>
      </c>
      <c r="C28" s="6"/>
      <c r="D28" s="30"/>
      <c r="E28" s="31">
        <v>0</v>
      </c>
      <c r="H28" s="32">
        <v>0</v>
      </c>
    </row>
    <row r="29" spans="1:9" ht="15.75" x14ac:dyDescent="0.25">
      <c r="A29" s="1" t="s">
        <v>9</v>
      </c>
      <c r="B29" s="6" t="s">
        <v>34</v>
      </c>
      <c r="C29" s="6"/>
      <c r="D29" s="33" t="s">
        <v>35</v>
      </c>
      <c r="E29" s="34" t="s">
        <v>36</v>
      </c>
      <c r="F29" s="33" t="s">
        <v>37</v>
      </c>
      <c r="G29" s="35"/>
      <c r="H29" s="32">
        <f>E31*F31</f>
        <v>0</v>
      </c>
    </row>
    <row r="30" spans="1:9" ht="15.75" x14ac:dyDescent="0.25">
      <c r="A30" s="1" t="s">
        <v>17</v>
      </c>
      <c r="B30" s="6" t="s">
        <v>167</v>
      </c>
      <c r="C30" s="6"/>
      <c r="D30" s="33"/>
      <c r="E30" s="34"/>
      <c r="F30" s="33"/>
      <c r="G30" s="35"/>
      <c r="H30" s="32">
        <v>0</v>
      </c>
      <c r="I30">
        <v>40</v>
      </c>
    </row>
    <row r="31" spans="1:9" ht="15.75" x14ac:dyDescent="0.25">
      <c r="A31" s="1" t="s">
        <v>40</v>
      </c>
      <c r="B31" s="6" t="s">
        <v>38</v>
      </c>
      <c r="C31" s="6"/>
      <c r="D31" s="30" t="s">
        <v>39</v>
      </c>
      <c r="E31" s="36">
        <v>0</v>
      </c>
      <c r="F31" s="37">
        <v>954</v>
      </c>
      <c r="G31" s="27"/>
      <c r="H31" s="38">
        <v>24.6</v>
      </c>
      <c r="I31">
        <v>120</v>
      </c>
    </row>
    <row r="32" spans="1:9" ht="15.75" x14ac:dyDescent="0.25">
      <c r="A32" s="1" t="s">
        <v>42</v>
      </c>
      <c r="B32" s="6" t="s">
        <v>41</v>
      </c>
      <c r="C32" s="6"/>
      <c r="G32" s="35"/>
      <c r="H32" s="38">
        <v>3.51</v>
      </c>
    </row>
    <row r="33" spans="1:9" ht="15.75" x14ac:dyDescent="0.25">
      <c r="A33" s="1" t="s">
        <v>61</v>
      </c>
      <c r="B33" s="6" t="s">
        <v>159</v>
      </c>
      <c r="C33" s="6"/>
      <c r="G33" s="35"/>
      <c r="H33" s="38">
        <v>6.44</v>
      </c>
    </row>
    <row r="34" spans="1:9" ht="15.75" x14ac:dyDescent="0.25">
      <c r="A34" s="1" t="s">
        <v>43</v>
      </c>
      <c r="B34" s="6" t="s">
        <v>155</v>
      </c>
      <c r="C34" s="6"/>
      <c r="G34" s="35"/>
      <c r="H34" s="38">
        <v>29.52</v>
      </c>
    </row>
    <row r="35" spans="1:9" ht="15.75" x14ac:dyDescent="0.25">
      <c r="A35" s="1" t="s">
        <v>161</v>
      </c>
      <c r="B35" s="8" t="s">
        <v>160</v>
      </c>
      <c r="C35" s="8"/>
      <c r="G35" s="35"/>
      <c r="H35" s="38">
        <v>39.36</v>
      </c>
    </row>
    <row r="36" spans="1:9" ht="15.75" x14ac:dyDescent="0.25">
      <c r="A36" s="1" t="s">
        <v>165</v>
      </c>
      <c r="B36" s="8" t="s">
        <v>162</v>
      </c>
      <c r="C36" s="8"/>
      <c r="G36" s="35"/>
      <c r="H36" s="38">
        <v>15.77</v>
      </c>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1417.9799999999998</v>
      </c>
    </row>
    <row r="39" spans="1:9" ht="15.75" x14ac:dyDescent="0.25">
      <c r="A39" s="44">
        <v>2</v>
      </c>
      <c r="B39" s="289" t="s">
        <v>46</v>
      </c>
      <c r="C39" s="289"/>
      <c r="D39" s="289"/>
      <c r="E39" s="289"/>
      <c r="F39" s="289"/>
      <c r="G39" s="289"/>
      <c r="H39" s="289"/>
    </row>
    <row r="40" spans="1:9" ht="15.75" x14ac:dyDescent="0.25">
      <c r="A40" s="113" t="s">
        <v>47</v>
      </c>
      <c r="B40" s="290" t="s">
        <v>48</v>
      </c>
      <c r="C40" s="290"/>
      <c r="D40" s="290"/>
      <c r="E40" s="290"/>
      <c r="F40" s="290"/>
      <c r="G40" s="290"/>
      <c r="H40" s="290"/>
    </row>
    <row r="41" spans="1:9" ht="15.75" x14ac:dyDescent="0.25">
      <c r="A41" s="1" t="s">
        <v>4</v>
      </c>
      <c r="B41" s="8" t="s">
        <v>49</v>
      </c>
      <c r="C41" s="8"/>
      <c r="D41" s="8"/>
      <c r="E41" s="27"/>
      <c r="F41" s="28"/>
      <c r="G41" s="45">
        <v>8.3299999999999999E-2</v>
      </c>
      <c r="H41" s="28">
        <f>SUM($H$38*G41)</f>
        <v>118.11773399999998</v>
      </c>
    </row>
    <row r="42" spans="1:9" ht="15.75" x14ac:dyDescent="0.25">
      <c r="A42" s="1" t="s">
        <v>7</v>
      </c>
      <c r="B42" s="27" t="s">
        <v>50</v>
      </c>
      <c r="C42" s="27"/>
      <c r="D42" s="27"/>
      <c r="E42" s="27"/>
      <c r="F42" s="46"/>
      <c r="G42" s="47">
        <v>0.121</v>
      </c>
      <c r="H42" s="28">
        <f>SUM($H$38*G42)</f>
        <v>171.57557999999997</v>
      </c>
    </row>
    <row r="43" spans="1:9" ht="15.75" x14ac:dyDescent="0.25">
      <c r="A43" s="1" t="s">
        <v>9</v>
      </c>
      <c r="B43" s="48" t="s">
        <v>51</v>
      </c>
      <c r="C43" s="48"/>
      <c r="D43" s="27"/>
      <c r="E43" s="27"/>
      <c r="F43" s="46"/>
      <c r="G43" s="47">
        <f>G42+G41*G54</f>
        <v>0.15165439999999999</v>
      </c>
      <c r="H43" s="28">
        <f>SUM(H41:H42)*G54</f>
        <v>106.60713955200002</v>
      </c>
    </row>
    <row r="44" spans="1:9" ht="15.75" x14ac:dyDescent="0.25">
      <c r="A44" s="49"/>
      <c r="B44" s="50" t="s">
        <v>45</v>
      </c>
      <c r="C44" s="40"/>
      <c r="D44" s="41"/>
      <c r="E44" s="41"/>
      <c r="F44" s="42"/>
      <c r="G44" s="42"/>
      <c r="H44" s="43">
        <f>SUM(H41:H43)</f>
        <v>396.30045355200002</v>
      </c>
    </row>
    <row r="45" spans="1:9" ht="15.75" x14ac:dyDescent="0.25">
      <c r="A45" s="110" t="s">
        <v>52</v>
      </c>
      <c r="B45" s="273" t="s">
        <v>53</v>
      </c>
      <c r="C45" s="273"/>
      <c r="D45" s="273"/>
      <c r="E45" s="273"/>
      <c r="F45" s="273"/>
      <c r="G45" s="273"/>
      <c r="H45" s="273"/>
    </row>
    <row r="46" spans="1:9" ht="15.75" x14ac:dyDescent="0.25">
      <c r="A46" s="1" t="s">
        <v>4</v>
      </c>
      <c r="B46" s="51" t="s">
        <v>54</v>
      </c>
      <c r="C46" s="51"/>
      <c r="D46" s="27"/>
      <c r="E46" s="27"/>
      <c r="F46" s="28"/>
      <c r="G46" s="45">
        <v>0.2</v>
      </c>
      <c r="H46" s="28">
        <f>SUM($H$38*G46)</f>
        <v>283.59599999999995</v>
      </c>
    </row>
    <row r="47" spans="1:9" ht="15.75" x14ac:dyDescent="0.25">
      <c r="A47" s="1" t="s">
        <v>7</v>
      </c>
      <c r="B47" s="51" t="s">
        <v>55</v>
      </c>
      <c r="C47" s="51"/>
      <c r="D47" s="282" t="s">
        <v>56</v>
      </c>
      <c r="E47" s="282"/>
      <c r="F47" s="28"/>
      <c r="G47" s="52">
        <v>1.4999999999999999E-2</v>
      </c>
      <c r="H47" s="28">
        <f t="shared" ref="H47:H53" si="0">SUM($H$38*G47)</f>
        <v>21.269699999999997</v>
      </c>
      <c r="I47" s="115"/>
    </row>
    <row r="48" spans="1:9" ht="15.75" x14ac:dyDescent="0.25">
      <c r="A48" s="1" t="s">
        <v>9</v>
      </c>
      <c r="B48" s="51" t="s">
        <v>57</v>
      </c>
      <c r="C48" s="51"/>
      <c r="D48" s="282"/>
      <c r="E48" s="282"/>
      <c r="F48" s="28"/>
      <c r="G48" s="52">
        <v>0.01</v>
      </c>
      <c r="H48" s="28">
        <f t="shared" si="0"/>
        <v>14.179799999999998</v>
      </c>
    </row>
    <row r="49" spans="1:13" ht="15.75" x14ac:dyDescent="0.25">
      <c r="A49" s="1" t="s">
        <v>17</v>
      </c>
      <c r="B49" s="51" t="s">
        <v>58</v>
      </c>
      <c r="C49" s="51"/>
      <c r="D49" s="27"/>
      <c r="E49" s="27"/>
      <c r="F49" s="28"/>
      <c r="G49" s="52">
        <v>2E-3</v>
      </c>
      <c r="H49" s="28">
        <f t="shared" si="0"/>
        <v>2.8359599999999996</v>
      </c>
    </row>
    <row r="50" spans="1:13" ht="15.75" x14ac:dyDescent="0.25">
      <c r="A50" s="1" t="s">
        <v>40</v>
      </c>
      <c r="B50" s="51" t="s">
        <v>59</v>
      </c>
      <c r="C50" s="51"/>
      <c r="D50" s="27"/>
      <c r="E50" s="27"/>
      <c r="F50" s="28"/>
      <c r="G50" s="52">
        <v>2.5000000000000001E-2</v>
      </c>
      <c r="H50" s="28">
        <f>SUM($H$38*G50)</f>
        <v>35.449499999999993</v>
      </c>
    </row>
    <row r="51" spans="1:13" ht="15.75" x14ac:dyDescent="0.25">
      <c r="A51" s="1" t="s">
        <v>42</v>
      </c>
      <c r="B51" s="51" t="s">
        <v>60</v>
      </c>
      <c r="C51" s="51"/>
      <c r="D51" s="27"/>
      <c r="E51" s="27"/>
      <c r="F51" s="28"/>
      <c r="G51" s="45">
        <v>0.08</v>
      </c>
      <c r="H51" s="28">
        <f t="shared" si="0"/>
        <v>113.43839999999999</v>
      </c>
    </row>
    <row r="52" spans="1:13" ht="15.75" x14ac:dyDescent="0.25">
      <c r="A52" s="1" t="s">
        <v>61</v>
      </c>
      <c r="B52" s="51" t="s">
        <v>62</v>
      </c>
      <c r="C52" s="51"/>
      <c r="D52" s="53"/>
      <c r="E52" s="53"/>
      <c r="F52" s="53"/>
      <c r="G52" s="52">
        <v>0.03</v>
      </c>
      <c r="H52" s="28">
        <f t="shared" si="0"/>
        <v>42.539399999999993</v>
      </c>
    </row>
    <row r="53" spans="1:13" ht="15.75" x14ac:dyDescent="0.25">
      <c r="A53" s="1" t="s">
        <v>43</v>
      </c>
      <c r="B53" s="51" t="s">
        <v>63</v>
      </c>
      <c r="C53" s="51"/>
      <c r="D53" s="27"/>
      <c r="E53" s="27"/>
      <c r="F53" s="28"/>
      <c r="G53" s="52">
        <v>6.0000000000000001E-3</v>
      </c>
      <c r="H53" s="28">
        <f t="shared" si="0"/>
        <v>8.5078799999999983</v>
      </c>
      <c r="I53" s="121">
        <f>H54+H43</f>
        <v>628.42377955199993</v>
      </c>
    </row>
    <row r="54" spans="1:13" ht="15.75" x14ac:dyDescent="0.25">
      <c r="A54" s="54"/>
      <c r="B54" s="55" t="s">
        <v>45</v>
      </c>
      <c r="C54" s="55"/>
      <c r="D54" s="40"/>
      <c r="E54" s="40"/>
      <c r="F54" s="56"/>
      <c r="G54" s="57">
        <f>SUM(G46:G53)</f>
        <v>0.3680000000000001</v>
      </c>
      <c r="H54" s="58">
        <f>SUM(H46:H53)</f>
        <v>521.81663999999989</v>
      </c>
    </row>
    <row r="55" spans="1:13" ht="15.75" x14ac:dyDescent="0.25">
      <c r="A55" s="110" t="s">
        <v>64</v>
      </c>
      <c r="B55" s="273" t="s">
        <v>65</v>
      </c>
      <c r="C55" s="273"/>
      <c r="D55" s="273"/>
      <c r="E55" s="273"/>
      <c r="F55" s="273"/>
      <c r="G55" s="273"/>
      <c r="H55" s="273"/>
    </row>
    <row r="56" spans="1:13" ht="15.75" x14ac:dyDescent="0.25">
      <c r="A56" s="6" t="s">
        <v>66</v>
      </c>
      <c r="B56" s="59"/>
      <c r="C56" s="59"/>
      <c r="D56" s="60" t="s">
        <v>67</v>
      </c>
      <c r="E56" s="60" t="s">
        <v>68</v>
      </c>
      <c r="F56" s="60" t="s">
        <v>69</v>
      </c>
      <c r="G56" s="60" t="s">
        <v>70</v>
      </c>
      <c r="H56" s="6"/>
    </row>
    <row r="57" spans="1:13" ht="15.75" x14ac:dyDescent="0.25">
      <c r="A57" s="274" t="s">
        <v>4</v>
      </c>
      <c r="B57" s="6" t="s">
        <v>71</v>
      </c>
      <c r="C57" s="6"/>
      <c r="D57" s="275">
        <v>26</v>
      </c>
      <c r="E57" s="276">
        <v>2</v>
      </c>
      <c r="F57" s="277">
        <v>3.3</v>
      </c>
      <c r="G57" s="278">
        <v>0.06</v>
      </c>
      <c r="H57" s="35">
        <f>F57*E57*D57</f>
        <v>171.6</v>
      </c>
    </row>
    <row r="58" spans="1:13" ht="15.75" x14ac:dyDescent="0.25">
      <c r="A58" s="274"/>
      <c r="B58" s="6" t="s">
        <v>72</v>
      </c>
      <c r="C58" s="6"/>
      <c r="D58" s="275"/>
      <c r="E58" s="275"/>
      <c r="F58" s="275"/>
      <c r="G58" s="275"/>
      <c r="H58" s="35">
        <f>H27*G57</f>
        <v>77.9268</v>
      </c>
    </row>
    <row r="59" spans="1:13" ht="15.75" x14ac:dyDescent="0.25">
      <c r="A59" s="274"/>
      <c r="B59" s="8" t="s">
        <v>73</v>
      </c>
      <c r="C59" s="8"/>
      <c r="D59" s="8"/>
      <c r="E59" s="27"/>
      <c r="F59" s="27"/>
      <c r="G59" s="61"/>
      <c r="H59" s="35">
        <f>H57-H58</f>
        <v>93.673199999999994</v>
      </c>
    </row>
    <row r="60" spans="1:13" ht="15.75" x14ac:dyDescent="0.25">
      <c r="A60" s="274" t="s">
        <v>7</v>
      </c>
      <c r="B60" s="6" t="s">
        <v>74</v>
      </c>
      <c r="C60" s="6"/>
      <c r="D60" s="275">
        <v>1</v>
      </c>
      <c r="E60" s="276">
        <v>1</v>
      </c>
      <c r="F60" s="277">
        <v>244.43</v>
      </c>
      <c r="G60" s="278">
        <v>0.2</v>
      </c>
      <c r="H60" s="35">
        <f>F60*E60*D60</f>
        <v>244.43</v>
      </c>
    </row>
    <row r="61" spans="1:13" ht="15.75" x14ac:dyDescent="0.25">
      <c r="A61" s="274"/>
      <c r="B61" s="6" t="s">
        <v>72</v>
      </c>
      <c r="C61" s="6"/>
      <c r="D61" s="275"/>
      <c r="E61" s="275"/>
      <c r="F61" s="275"/>
      <c r="G61" s="275"/>
      <c r="H61" s="35">
        <f>H60*G60</f>
        <v>48.886000000000003</v>
      </c>
    </row>
    <row r="62" spans="1:13" ht="15.75" x14ac:dyDescent="0.25">
      <c r="A62" s="274"/>
      <c r="B62" s="279" t="s">
        <v>75</v>
      </c>
      <c r="C62" s="279"/>
      <c r="D62" s="279"/>
      <c r="E62" s="279"/>
      <c r="F62" s="13"/>
      <c r="G62" s="13"/>
      <c r="H62" s="35">
        <f>H60-H61</f>
        <v>195.54400000000001</v>
      </c>
    </row>
    <row r="63" spans="1:13" ht="15.75" x14ac:dyDescent="0.25">
      <c r="A63" s="62" t="s">
        <v>9</v>
      </c>
      <c r="B63" s="279" t="s">
        <v>76</v>
      </c>
      <c r="C63" s="279"/>
      <c r="D63" s="279"/>
      <c r="E63" s="279"/>
      <c r="F63" s="13"/>
      <c r="G63" s="13"/>
      <c r="H63" s="35">
        <v>0</v>
      </c>
    </row>
    <row r="64" spans="1:13" ht="15.75" x14ac:dyDescent="0.25">
      <c r="A64" s="62" t="s">
        <v>17</v>
      </c>
      <c r="B64" s="117" t="s">
        <v>77</v>
      </c>
      <c r="C64" s="117"/>
      <c r="D64" s="117"/>
      <c r="E64" s="117" t="s">
        <v>163</v>
      </c>
      <c r="F64" s="13"/>
      <c r="G64" s="13"/>
      <c r="H64" s="35">
        <v>0</v>
      </c>
      <c r="J64" s="111"/>
      <c r="K64" s="13"/>
      <c r="L64" s="13"/>
      <c r="M64" s="35">
        <v>0</v>
      </c>
    </row>
    <row r="65" spans="1:9" ht="15.75" x14ac:dyDescent="0.25">
      <c r="A65" s="62" t="s">
        <v>40</v>
      </c>
      <c r="B65" s="116" t="s">
        <v>78</v>
      </c>
      <c r="C65" s="116"/>
      <c r="D65" s="116"/>
      <c r="E65" s="118">
        <v>3.8059999999999998E-4</v>
      </c>
      <c r="H65" s="35">
        <f>(1/12*(H27+H28+H30))*E65</f>
        <v>4.1192972333333328E-2</v>
      </c>
    </row>
    <row r="66" spans="1:9" ht="15.75" x14ac:dyDescent="0.25">
      <c r="A66" s="63"/>
      <c r="B66" s="280" t="s">
        <v>45</v>
      </c>
      <c r="C66" s="280"/>
      <c r="D66" s="280"/>
      <c r="E66" s="280"/>
      <c r="F66" s="64"/>
      <c r="G66" s="64"/>
      <c r="H66" s="65">
        <f>H59+H62+H63+H64+M64+H65</f>
        <v>289.2583929723333</v>
      </c>
    </row>
    <row r="67" spans="1:9" ht="15.75" x14ac:dyDescent="0.25">
      <c r="A67" s="273" t="s">
        <v>79</v>
      </c>
      <c r="B67" s="273"/>
      <c r="C67" s="273"/>
      <c r="D67" s="273"/>
      <c r="E67" s="273"/>
      <c r="F67" s="273"/>
      <c r="G67" s="273"/>
      <c r="H67" s="273"/>
    </row>
    <row r="68" spans="1:9" ht="15.75" x14ac:dyDescent="0.25">
      <c r="A68" s="62" t="s">
        <v>47</v>
      </c>
      <c r="B68" s="8" t="s">
        <v>80</v>
      </c>
      <c r="C68" s="8"/>
      <c r="D68" s="66"/>
      <c r="E68" s="66"/>
      <c r="F68" s="13"/>
      <c r="G68" s="13"/>
      <c r="H68" s="67">
        <f>H44</f>
        <v>396.30045355200002</v>
      </c>
    </row>
    <row r="69" spans="1:9" ht="15.75" x14ac:dyDescent="0.25">
      <c r="A69" s="62" t="s">
        <v>52</v>
      </c>
      <c r="B69" s="8" t="s">
        <v>81</v>
      </c>
      <c r="C69" s="8"/>
      <c r="D69" s="66"/>
      <c r="E69" s="66"/>
      <c r="F69" s="13"/>
      <c r="G69" s="13"/>
      <c r="H69" s="67">
        <f>H54</f>
        <v>521.81663999999989</v>
      </c>
    </row>
    <row r="70" spans="1:9" ht="15.75" x14ac:dyDescent="0.25">
      <c r="A70" s="62" t="s">
        <v>64</v>
      </c>
      <c r="B70" s="8" t="s">
        <v>82</v>
      </c>
      <c r="C70" s="8"/>
      <c r="D70" s="66"/>
      <c r="E70" s="66"/>
      <c r="F70" s="13"/>
      <c r="G70" s="13"/>
      <c r="H70" s="67">
        <f>H66</f>
        <v>289.2583929723333</v>
      </c>
    </row>
    <row r="71" spans="1:9" ht="15.75" x14ac:dyDescent="0.25">
      <c r="A71" s="63"/>
      <c r="B71" s="112" t="s">
        <v>45</v>
      </c>
      <c r="C71" s="112"/>
      <c r="D71" s="112"/>
      <c r="E71" s="112"/>
      <c r="F71" s="64"/>
      <c r="G71" s="64"/>
      <c r="H71" s="65">
        <f>SUM(H68:H70)</f>
        <v>1207.3754865243332</v>
      </c>
    </row>
    <row r="72" spans="1:9" ht="15.75" x14ac:dyDescent="0.25">
      <c r="A72" s="68">
        <v>3</v>
      </c>
      <c r="B72" s="271" t="s">
        <v>83</v>
      </c>
      <c r="C72" s="271"/>
      <c r="D72" s="271"/>
      <c r="E72" s="271"/>
      <c r="F72" s="271"/>
      <c r="G72" s="271"/>
      <c r="H72" s="271"/>
    </row>
    <row r="73" spans="1:9" ht="15.75" x14ac:dyDescent="0.25">
      <c r="A73" s="1" t="s">
        <v>4</v>
      </c>
      <c r="B73" s="48" t="s">
        <v>84</v>
      </c>
      <c r="C73" s="48"/>
      <c r="D73" s="69"/>
      <c r="E73" s="69"/>
      <c r="F73" s="69"/>
      <c r="G73" s="45">
        <v>4.1999999999999997E-3</v>
      </c>
      <c r="H73" s="28">
        <f>SUM($H$38*G73)</f>
        <v>5.9555159999999985</v>
      </c>
      <c r="I73" s="115"/>
    </row>
    <row r="74" spans="1:9" ht="15.75" x14ac:dyDescent="0.25">
      <c r="A74" s="1" t="s">
        <v>7</v>
      </c>
      <c r="B74" s="48" t="s">
        <v>85</v>
      </c>
      <c r="C74" s="48"/>
      <c r="D74" s="27"/>
      <c r="E74" s="27"/>
      <c r="F74" s="28"/>
      <c r="G74" s="45">
        <f>G73*0.08</f>
        <v>3.3599999999999998E-4</v>
      </c>
      <c r="H74" s="28">
        <f>SUM($H$38*G74)</f>
        <v>0.47644127999999991</v>
      </c>
    </row>
    <row r="75" spans="1:9" ht="15.75" x14ac:dyDescent="0.25">
      <c r="A75" s="1" t="s">
        <v>9</v>
      </c>
      <c r="B75" s="48" t="s">
        <v>86</v>
      </c>
      <c r="C75" s="48"/>
      <c r="D75" s="70"/>
      <c r="E75" s="70"/>
      <c r="F75" s="70"/>
      <c r="G75" s="71">
        <v>2.5000000000000001E-2</v>
      </c>
      <c r="H75" s="72">
        <f>(ROUND(SUM($H$38*G75),2))</f>
        <v>35.450000000000003</v>
      </c>
    </row>
    <row r="76" spans="1:9" ht="15.75" x14ac:dyDescent="0.25">
      <c r="A76" s="1" t="s">
        <v>17</v>
      </c>
      <c r="B76" s="27" t="s">
        <v>87</v>
      </c>
      <c r="C76" s="27"/>
      <c r="D76" s="69"/>
      <c r="E76" s="69"/>
      <c r="F76" s="69"/>
      <c r="G76" s="45">
        <v>1.9400000000000001E-2</v>
      </c>
      <c r="H76" s="28">
        <f>SUM($H$38*G76)</f>
        <v>27.508811999999995</v>
      </c>
      <c r="I76" s="115"/>
    </row>
    <row r="77" spans="1:9" ht="15.75" x14ac:dyDescent="0.25">
      <c r="A77" s="1" t="s">
        <v>40</v>
      </c>
      <c r="B77" s="48" t="s">
        <v>88</v>
      </c>
      <c r="C77" s="48"/>
      <c r="D77" s="27"/>
      <c r="E77" s="27"/>
      <c r="F77" s="28"/>
      <c r="G77" s="45">
        <f>G76*G54</f>
        <v>7.1392000000000027E-3</v>
      </c>
      <c r="H77" s="28">
        <f>SUM($H$38*G77)</f>
        <v>10.123242816000003</v>
      </c>
    </row>
    <row r="78" spans="1:9" ht="15.75" x14ac:dyDescent="0.25">
      <c r="A78" s="1" t="s">
        <v>42</v>
      </c>
      <c r="B78" s="27" t="s">
        <v>89</v>
      </c>
      <c r="C78" s="27"/>
      <c r="D78" s="70"/>
      <c r="E78" s="70"/>
      <c r="F78" s="70"/>
      <c r="G78" s="52">
        <v>2.5000000000000001E-2</v>
      </c>
      <c r="H78" s="28">
        <f>SUM($H$38*G78)</f>
        <v>35.449499999999993</v>
      </c>
    </row>
    <row r="79" spans="1:9" ht="15.75" x14ac:dyDescent="0.25">
      <c r="A79" s="73"/>
      <c r="B79" s="55" t="s">
        <v>45</v>
      </c>
      <c r="C79" s="55"/>
      <c r="D79" s="41"/>
      <c r="E79" s="41"/>
      <c r="F79" s="74"/>
      <c r="G79" s="57">
        <f>SUM(G73:G78)</f>
        <v>8.1075200000000014E-2</v>
      </c>
      <c r="H79" s="58">
        <f>SUM(H73:H78)</f>
        <v>114.96351209599999</v>
      </c>
    </row>
    <row r="80" spans="1:9" ht="15.75" x14ac:dyDescent="0.25">
      <c r="A80" s="44">
        <v>4</v>
      </c>
      <c r="B80" s="281" t="s">
        <v>90</v>
      </c>
      <c r="C80" s="281"/>
      <c r="D80" s="281"/>
      <c r="E80" s="281"/>
      <c r="F80" s="281"/>
      <c r="G80" s="281"/>
      <c r="H80" s="281"/>
    </row>
    <row r="81" spans="1:9" ht="15.75" x14ac:dyDescent="0.25">
      <c r="A81" s="75" t="s">
        <v>91</v>
      </c>
      <c r="B81" s="273" t="s">
        <v>92</v>
      </c>
      <c r="C81" s="273"/>
      <c r="D81" s="273"/>
      <c r="E81" s="273"/>
      <c r="F81" s="273"/>
      <c r="G81" s="273"/>
      <c r="H81" s="273"/>
    </row>
    <row r="82" spans="1:9" ht="15.75" x14ac:dyDescent="0.25">
      <c r="A82" s="12" t="s">
        <v>4</v>
      </c>
      <c r="B82" s="51" t="s">
        <v>93</v>
      </c>
      <c r="C82" s="51"/>
      <c r="D82" s="53"/>
      <c r="E82" s="53"/>
      <c r="F82" s="53"/>
      <c r="G82" s="45">
        <f>(G41+G42)/12</f>
        <v>1.7024999999999998E-2</v>
      </c>
      <c r="H82" s="28"/>
    </row>
    <row r="83" spans="1:9" ht="15.75" x14ac:dyDescent="0.25">
      <c r="A83" s="114" t="s">
        <v>7</v>
      </c>
      <c r="B83" s="51" t="s">
        <v>94</v>
      </c>
      <c r="C83" s="272" t="s">
        <v>95</v>
      </c>
      <c r="D83" s="76">
        <v>1</v>
      </c>
      <c r="E83" s="272" t="s">
        <v>96</v>
      </c>
      <c r="F83" s="77">
        <v>1</v>
      </c>
      <c r="G83" s="45">
        <f t="shared" ref="G83:G88" si="1">D83/360*F83</f>
        <v>2.7777777777777779E-3</v>
      </c>
      <c r="H83" s="28">
        <f t="shared" ref="H83:H87" si="2">SUM(H$38*G83)</f>
        <v>3.9388333333333327</v>
      </c>
    </row>
    <row r="84" spans="1:9" ht="15.75" x14ac:dyDescent="0.25">
      <c r="A84" s="12" t="s">
        <v>9</v>
      </c>
      <c r="B84" s="51" t="s">
        <v>97</v>
      </c>
      <c r="C84" s="272"/>
      <c r="D84" s="76">
        <v>5</v>
      </c>
      <c r="E84" s="272"/>
      <c r="F84" s="77">
        <v>1.4999999999999999E-2</v>
      </c>
      <c r="G84" s="45">
        <f t="shared" si="1"/>
        <v>2.0833333333333332E-4</v>
      </c>
      <c r="H84" s="28">
        <f t="shared" si="2"/>
        <v>0.29541249999999991</v>
      </c>
    </row>
    <row r="85" spans="1:9" ht="15.75" x14ac:dyDescent="0.25">
      <c r="A85" s="12" t="s">
        <v>17</v>
      </c>
      <c r="B85" s="51" t="s">
        <v>98</v>
      </c>
      <c r="C85" s="272"/>
      <c r="D85" s="76">
        <v>15</v>
      </c>
      <c r="E85" s="272"/>
      <c r="F85" s="78">
        <v>1.3299999999999999E-2</v>
      </c>
      <c r="G85" s="45">
        <f t="shared" si="1"/>
        <v>5.5416666666666657E-4</v>
      </c>
      <c r="H85" s="28">
        <f t="shared" si="2"/>
        <v>0.78579724999999978</v>
      </c>
    </row>
    <row r="86" spans="1:9" ht="15.75" x14ac:dyDescent="0.25">
      <c r="A86" s="12" t="s">
        <v>40</v>
      </c>
      <c r="B86" s="51" t="s">
        <v>99</v>
      </c>
      <c r="C86" s="272"/>
      <c r="D86" s="76">
        <v>120</v>
      </c>
      <c r="E86" s="272"/>
      <c r="F86" s="77">
        <v>1.8599999999999998E-2</v>
      </c>
      <c r="G86" s="45">
        <f t="shared" si="1"/>
        <v>6.1999999999999989E-3</v>
      </c>
      <c r="H86" s="28">
        <f t="shared" si="2"/>
        <v>8.7914759999999976</v>
      </c>
    </row>
    <row r="87" spans="1:9" ht="15.75" x14ac:dyDescent="0.25">
      <c r="A87" s="12" t="s">
        <v>42</v>
      </c>
      <c r="B87" s="51" t="s">
        <v>100</v>
      </c>
      <c r="C87" s="272"/>
      <c r="D87" s="79">
        <v>5.96</v>
      </c>
      <c r="E87" s="272"/>
      <c r="F87" s="80">
        <v>1</v>
      </c>
      <c r="G87" s="45">
        <f t="shared" si="1"/>
        <v>1.6555555555555556E-2</v>
      </c>
      <c r="H87" s="81">
        <f t="shared" si="2"/>
        <v>23.475446666666663</v>
      </c>
    </row>
    <row r="88" spans="1:9" ht="15.75" x14ac:dyDescent="0.25">
      <c r="A88" s="12" t="s">
        <v>61</v>
      </c>
      <c r="B88" s="51" t="s">
        <v>101</v>
      </c>
      <c r="C88" s="272"/>
      <c r="D88" s="79"/>
      <c r="E88" s="272"/>
      <c r="F88" s="82"/>
      <c r="G88" s="45">
        <f t="shared" si="1"/>
        <v>0</v>
      </c>
      <c r="H88" s="81"/>
    </row>
    <row r="89" spans="1:9" ht="15.75" x14ac:dyDescent="0.25">
      <c r="A89" s="19"/>
      <c r="B89" s="6" t="s">
        <v>102</v>
      </c>
      <c r="C89" s="6"/>
      <c r="D89" s="27"/>
      <c r="E89" s="27"/>
      <c r="F89" s="28"/>
      <c r="G89" s="45">
        <f>SUM(G82:G88)</f>
        <v>4.3320833333333336E-2</v>
      </c>
      <c r="H89" s="28">
        <f>SUM(H82:H88)</f>
        <v>37.286965749999993</v>
      </c>
      <c r="I89" s="115">
        <f>SUM(H83:H89)*G54</f>
        <v>27.443206792000002</v>
      </c>
    </row>
    <row r="90" spans="1:9" ht="15.75" x14ac:dyDescent="0.25">
      <c r="A90" s="12" t="s">
        <v>42</v>
      </c>
      <c r="B90" s="51" t="s">
        <v>103</v>
      </c>
      <c r="C90" s="51"/>
      <c r="D90" s="27"/>
      <c r="E90" s="27"/>
      <c r="F90" s="28"/>
      <c r="G90" s="45">
        <f>G89*G54</f>
        <v>1.5942066666666671E-2</v>
      </c>
      <c r="H90" s="28">
        <f>SUM(H89*G54)</f>
        <v>13.721603396000001</v>
      </c>
    </row>
    <row r="91" spans="1:9" ht="15.75" x14ac:dyDescent="0.25">
      <c r="A91" s="73"/>
      <c r="B91" s="55" t="s">
        <v>45</v>
      </c>
      <c r="C91" s="55"/>
      <c r="D91" s="41"/>
      <c r="E91" s="41"/>
      <c r="F91" s="74"/>
      <c r="G91" s="57">
        <f>G90+G89</f>
        <v>5.9262900000000007E-2</v>
      </c>
      <c r="H91" s="58">
        <f>SUM(H89:H90)</f>
        <v>51.008569145999992</v>
      </c>
    </row>
    <row r="92" spans="1:9" ht="15.75" x14ac:dyDescent="0.25">
      <c r="A92" s="75" t="s">
        <v>104</v>
      </c>
      <c r="B92" s="273" t="s">
        <v>105</v>
      </c>
      <c r="C92" s="273"/>
      <c r="D92" s="273"/>
      <c r="E92" s="273"/>
      <c r="F92" s="273"/>
      <c r="G92" s="273"/>
      <c r="H92" s="273"/>
    </row>
    <row r="93" spans="1:9" ht="15.75" x14ac:dyDescent="0.25">
      <c r="A93" s="12" t="s">
        <v>4</v>
      </c>
      <c r="B93" s="51" t="s">
        <v>106</v>
      </c>
      <c r="C93" s="51"/>
      <c r="D93" s="53"/>
      <c r="E93" s="53"/>
      <c r="F93" s="53"/>
      <c r="G93" s="52">
        <v>0</v>
      </c>
      <c r="H93" s="28">
        <f>SUM(H$38*G93)</f>
        <v>0</v>
      </c>
    </row>
    <row r="94" spans="1:9" ht="15.75" x14ac:dyDescent="0.25">
      <c r="A94" s="12" t="s">
        <v>7</v>
      </c>
      <c r="B94" s="51" t="s">
        <v>107</v>
      </c>
      <c r="C94" s="51"/>
      <c r="D94" s="53"/>
      <c r="E94" s="53"/>
      <c r="F94" s="53"/>
      <c r="G94" s="45">
        <f>G93*G54</f>
        <v>0</v>
      </c>
      <c r="H94" s="28">
        <f>SUM($H$38*G94)</f>
        <v>0</v>
      </c>
    </row>
    <row r="95" spans="1:9" ht="15.75" x14ac:dyDescent="0.25">
      <c r="A95" s="73"/>
      <c r="B95" s="55" t="s">
        <v>45</v>
      </c>
      <c r="C95" s="55"/>
      <c r="D95" s="41"/>
      <c r="E95" s="41"/>
      <c r="F95" s="74"/>
      <c r="G95" s="57">
        <f>G94+G93</f>
        <v>0</v>
      </c>
      <c r="H95" s="58">
        <f>SUM(H93:H94)</f>
        <v>0</v>
      </c>
    </row>
    <row r="96" spans="1:9" ht="15.75" x14ac:dyDescent="0.25">
      <c r="A96" s="273" t="s">
        <v>108</v>
      </c>
      <c r="B96" s="273"/>
      <c r="C96" s="273"/>
      <c r="D96" s="273"/>
      <c r="E96" s="273"/>
      <c r="F96" s="273"/>
      <c r="G96" s="273"/>
      <c r="H96" s="273"/>
    </row>
    <row r="97" spans="1:10" ht="15.75" x14ac:dyDescent="0.25">
      <c r="A97" s="12" t="s">
        <v>91</v>
      </c>
      <c r="B97" s="51" t="s">
        <v>94</v>
      </c>
      <c r="C97" s="51"/>
      <c r="D97" s="53"/>
      <c r="E97" s="53"/>
      <c r="F97" s="53"/>
      <c r="G97" s="45">
        <f>G91</f>
        <v>5.9262900000000007E-2</v>
      </c>
      <c r="H97" s="28">
        <f>H91</f>
        <v>51.008569145999992</v>
      </c>
    </row>
    <row r="98" spans="1:10" ht="15.75" x14ac:dyDescent="0.25">
      <c r="A98" s="12" t="s">
        <v>104</v>
      </c>
      <c r="B98" s="51" t="s">
        <v>109</v>
      </c>
      <c r="C98" s="51"/>
      <c r="D98" s="53"/>
      <c r="E98" s="53"/>
      <c r="F98" s="53"/>
      <c r="G98" s="45">
        <f>G95</f>
        <v>0</v>
      </c>
      <c r="H98" s="28">
        <f>H95</f>
        <v>0</v>
      </c>
    </row>
    <row r="99" spans="1:10" ht="15.75" x14ac:dyDescent="0.25">
      <c r="A99" s="73"/>
      <c r="B99" s="55" t="s">
        <v>45</v>
      </c>
      <c r="C99" s="55"/>
      <c r="D99" s="41"/>
      <c r="E99" s="41"/>
      <c r="F99" s="74"/>
      <c r="G99" s="57">
        <f>G95+G91</f>
        <v>5.9262900000000007E-2</v>
      </c>
      <c r="H99" s="58">
        <f>SUM(H97:H98)</f>
        <v>51.008569145999992</v>
      </c>
    </row>
    <row r="100" spans="1:10" ht="15.75" x14ac:dyDescent="0.25">
      <c r="A100" s="83">
        <v>5</v>
      </c>
      <c r="B100" s="273" t="s">
        <v>110</v>
      </c>
      <c r="C100" s="273"/>
      <c r="D100" s="273"/>
      <c r="E100" s="273"/>
      <c r="F100" s="273"/>
      <c r="G100" s="273"/>
      <c r="H100" s="273"/>
    </row>
    <row r="101" spans="1:10" ht="15.75" x14ac:dyDescent="0.25">
      <c r="A101" s="12" t="s">
        <v>4</v>
      </c>
      <c r="B101" s="13" t="s">
        <v>111</v>
      </c>
      <c r="C101" s="13"/>
      <c r="D101" s="84"/>
      <c r="E101" s="27"/>
      <c r="F101" s="85"/>
      <c r="G101" s="85"/>
      <c r="H101" s="85"/>
    </row>
    <row r="102" spans="1:10" ht="15.75" x14ac:dyDescent="0.25">
      <c r="A102" s="12" t="s">
        <v>7</v>
      </c>
      <c r="B102" s="13" t="s">
        <v>112</v>
      </c>
      <c r="C102" s="13"/>
      <c r="D102" s="84"/>
      <c r="E102" s="27"/>
      <c r="F102" s="85"/>
      <c r="G102" s="85"/>
      <c r="H102" s="85"/>
    </row>
    <row r="103" spans="1:10" ht="15.75" x14ac:dyDescent="0.25">
      <c r="A103" s="12" t="s">
        <v>9</v>
      </c>
      <c r="B103" s="13" t="s">
        <v>113</v>
      </c>
      <c r="C103" s="13"/>
      <c r="D103" s="84"/>
      <c r="E103" s="27"/>
      <c r="F103" s="85"/>
      <c r="G103" s="85"/>
      <c r="H103" s="85"/>
    </row>
    <row r="104" spans="1:10" ht="15.75" x14ac:dyDescent="0.25">
      <c r="A104" s="12" t="s">
        <v>17</v>
      </c>
      <c r="B104" s="13" t="s">
        <v>164</v>
      </c>
      <c r="C104" s="13"/>
      <c r="D104" s="84"/>
      <c r="E104" s="27"/>
      <c r="F104" s="85"/>
      <c r="G104" s="85"/>
      <c r="H104" s="85"/>
    </row>
    <row r="105" spans="1:10" ht="15.75" x14ac:dyDescent="0.25">
      <c r="A105" s="12" t="s">
        <v>40</v>
      </c>
      <c r="B105" s="13" t="s">
        <v>101</v>
      </c>
      <c r="C105" s="13"/>
      <c r="D105" s="84"/>
      <c r="E105" s="27"/>
      <c r="F105" s="85"/>
      <c r="G105" s="85"/>
      <c r="H105" s="85"/>
    </row>
    <row r="106" spans="1:10" ht="15.75" x14ac:dyDescent="0.25">
      <c r="A106" s="73"/>
      <c r="B106" s="55" t="s">
        <v>45</v>
      </c>
      <c r="C106" s="55"/>
      <c r="D106" s="41"/>
      <c r="E106" s="41"/>
      <c r="F106" s="74"/>
      <c r="G106" s="57"/>
      <c r="H106" s="58">
        <f>SUM(H101:H105)</f>
        <v>0</v>
      </c>
    </row>
    <row r="107" spans="1:10" ht="15.75" x14ac:dyDescent="0.25">
      <c r="A107" s="83">
        <v>6</v>
      </c>
      <c r="B107" s="273" t="s">
        <v>114</v>
      </c>
      <c r="C107" s="273"/>
      <c r="D107" s="273"/>
      <c r="E107" s="273"/>
      <c r="F107" s="273"/>
      <c r="G107" s="273"/>
      <c r="H107" s="273"/>
    </row>
    <row r="108" spans="1:10" ht="15.75" x14ac:dyDescent="0.25">
      <c r="A108" s="86" t="s">
        <v>4</v>
      </c>
      <c r="B108" s="27"/>
      <c r="C108" s="27"/>
      <c r="D108" s="27"/>
      <c r="E108" s="27"/>
      <c r="F108" s="27" t="s">
        <v>115</v>
      </c>
      <c r="G108" s="52">
        <v>0.06</v>
      </c>
      <c r="H108" s="28">
        <f>G108*H123</f>
        <v>167.47965406597999</v>
      </c>
    </row>
    <row r="109" spans="1:10" ht="15.75" x14ac:dyDescent="0.25">
      <c r="A109" s="86" t="s">
        <v>7</v>
      </c>
      <c r="B109" s="27"/>
      <c r="C109" s="27"/>
      <c r="D109" s="27"/>
      <c r="E109" s="27"/>
      <c r="F109" s="12" t="s">
        <v>116</v>
      </c>
      <c r="G109" s="52">
        <v>6.7900000000000002E-2</v>
      </c>
      <c r="H109" s="28">
        <f>SUM(H108+H123)*$G$109</f>
        <v>200.90301036241408</v>
      </c>
    </row>
    <row r="110" spans="1:10" ht="15.75" x14ac:dyDescent="0.25">
      <c r="A110" s="86" t="s">
        <v>9</v>
      </c>
      <c r="B110" s="27"/>
      <c r="C110" s="27"/>
      <c r="D110" s="27"/>
      <c r="E110" s="27"/>
      <c r="F110" s="12" t="s">
        <v>117</v>
      </c>
      <c r="G110" s="87">
        <f>SUM(G111:G115)</f>
        <v>8.6499999999999994E-2</v>
      </c>
      <c r="H110" s="28"/>
    </row>
    <row r="111" spans="1:10" ht="15.75" x14ac:dyDescent="0.25">
      <c r="A111" s="86" t="s">
        <v>118</v>
      </c>
      <c r="B111" s="27"/>
      <c r="C111" s="27"/>
      <c r="D111" s="27"/>
      <c r="E111" s="27"/>
      <c r="F111" s="88" t="s">
        <v>119</v>
      </c>
      <c r="G111" s="45">
        <v>0</v>
      </c>
      <c r="H111" s="28">
        <f>SUM(H$125*$G$111)</f>
        <v>0</v>
      </c>
      <c r="J111" s="120"/>
    </row>
    <row r="112" spans="1:10" ht="15.75" x14ac:dyDescent="0.25">
      <c r="A112" s="86" t="s">
        <v>120</v>
      </c>
      <c r="B112" s="27"/>
      <c r="C112" s="27"/>
      <c r="D112" s="27"/>
      <c r="E112" s="27"/>
      <c r="F112" s="88" t="s">
        <v>121</v>
      </c>
      <c r="G112" s="52">
        <v>6.4999999999999997E-3</v>
      </c>
      <c r="H112" s="28">
        <f>SUM(H$125/0.9135)*$G$112</f>
        <v>22.482886162305117</v>
      </c>
    </row>
    <row r="113" spans="1:8" ht="15.75" x14ac:dyDescent="0.25">
      <c r="A113" s="86" t="s">
        <v>122</v>
      </c>
      <c r="B113" s="27"/>
      <c r="C113" s="27"/>
      <c r="D113" s="27"/>
      <c r="E113" s="27"/>
      <c r="F113" s="88" t="s">
        <v>123</v>
      </c>
      <c r="G113" s="52">
        <v>0.03</v>
      </c>
      <c r="H113" s="28">
        <f>SUM(H$125/0.9135)*$G$113</f>
        <v>103.7671669029467</v>
      </c>
    </row>
    <row r="114" spans="1:8" ht="15.75" x14ac:dyDescent="0.25">
      <c r="A114" s="86" t="s">
        <v>124</v>
      </c>
      <c r="B114" s="27"/>
      <c r="C114" s="27"/>
      <c r="D114" s="27"/>
      <c r="E114" s="27"/>
      <c r="F114" s="88" t="s">
        <v>125</v>
      </c>
      <c r="G114" s="45">
        <v>0</v>
      </c>
      <c r="H114" s="28">
        <f>SUM(H$125/0.9135)*$G$114</f>
        <v>0</v>
      </c>
    </row>
    <row r="115" spans="1:8" ht="15.75" x14ac:dyDescent="0.25">
      <c r="A115" s="86" t="s">
        <v>126</v>
      </c>
      <c r="B115" s="27"/>
      <c r="C115" s="27"/>
      <c r="D115" s="27"/>
      <c r="E115" s="27"/>
      <c r="F115" s="88" t="s">
        <v>127</v>
      </c>
      <c r="G115" s="45">
        <v>0.05</v>
      </c>
      <c r="H115" s="28">
        <f>SUM(H$125/0.9135)*$G$115</f>
        <v>172.94527817157785</v>
      </c>
    </row>
    <row r="116" spans="1:8" ht="15.75" x14ac:dyDescent="0.25">
      <c r="A116" s="73"/>
      <c r="B116" s="55" t="s">
        <v>45</v>
      </c>
      <c r="C116" s="55"/>
      <c r="D116" s="41"/>
      <c r="E116" s="41"/>
      <c r="F116" s="74"/>
      <c r="G116" s="57">
        <f>G110+G109+G108</f>
        <v>0.21439999999999998</v>
      </c>
      <c r="H116" s="58">
        <f>SUM(H108:H115)</f>
        <v>667.57799566522374</v>
      </c>
    </row>
    <row r="117" spans="1:8" ht="15.75" x14ac:dyDescent="0.25">
      <c r="A117" s="89"/>
      <c r="B117" s="271" t="s">
        <v>128</v>
      </c>
      <c r="C117" s="271"/>
      <c r="D117" s="271"/>
      <c r="E117" s="271"/>
      <c r="F117" s="271"/>
      <c r="G117" s="271"/>
      <c r="H117" s="271"/>
    </row>
    <row r="118" spans="1:8" ht="15.75" x14ac:dyDescent="0.25">
      <c r="A118" s="90" t="s">
        <v>4</v>
      </c>
      <c r="B118" s="27" t="s">
        <v>30</v>
      </c>
      <c r="C118" s="27"/>
      <c r="D118" s="27"/>
      <c r="E118" s="27"/>
      <c r="F118" s="28"/>
      <c r="G118" s="45">
        <f>SUM(H118/H$125)</f>
        <v>0.44876899962281486</v>
      </c>
      <c r="H118" s="28">
        <f>SUM(H38)</f>
        <v>1417.9799999999998</v>
      </c>
    </row>
    <row r="119" spans="1:8" ht="15.75" x14ac:dyDescent="0.25">
      <c r="A119" s="90" t="s">
        <v>7</v>
      </c>
      <c r="B119" s="27" t="s">
        <v>129</v>
      </c>
      <c r="C119" s="27"/>
      <c r="D119" s="27"/>
      <c r="E119" s="27"/>
      <c r="F119" s="28"/>
      <c r="G119" s="45">
        <f>SUM(H119/H$125)</f>
        <v>0.38211588968577442</v>
      </c>
      <c r="H119" s="28">
        <f>H71</f>
        <v>1207.3754865243332</v>
      </c>
    </row>
    <row r="120" spans="1:8" ht="15.75" x14ac:dyDescent="0.25">
      <c r="A120" s="90" t="s">
        <v>9</v>
      </c>
      <c r="B120" s="27" t="s">
        <v>130</v>
      </c>
      <c r="C120" s="27"/>
      <c r="D120" s="27"/>
      <c r="E120" s="27"/>
      <c r="F120" s="28"/>
      <c r="G120" s="45">
        <f>SUM(H120/H$125)</f>
        <v>3.6384194640578356E-2</v>
      </c>
      <c r="H120" s="28">
        <f>H79</f>
        <v>114.96351209599999</v>
      </c>
    </row>
    <row r="121" spans="1:8" ht="15.75" x14ac:dyDescent="0.25">
      <c r="A121" s="90" t="s">
        <v>17</v>
      </c>
      <c r="B121" s="27" t="s">
        <v>131</v>
      </c>
      <c r="C121" s="27"/>
      <c r="D121" s="27"/>
      <c r="E121" s="27"/>
      <c r="F121" s="28"/>
      <c r="G121" s="45">
        <f>SUM(H121/H$125)</f>
        <v>1.614343259273163E-2</v>
      </c>
      <c r="H121" s="28">
        <f>H99</f>
        <v>51.008569145999992</v>
      </c>
    </row>
    <row r="122" spans="1:8" ht="15.75" x14ac:dyDescent="0.25">
      <c r="A122" s="90" t="s">
        <v>40</v>
      </c>
      <c r="B122" s="27" t="s">
        <v>110</v>
      </c>
      <c r="C122" s="27"/>
      <c r="D122" s="27"/>
      <c r="E122" s="27"/>
      <c r="F122" s="28"/>
      <c r="G122" s="45">
        <f>H122/H125</f>
        <v>0</v>
      </c>
      <c r="H122" s="28">
        <f>H106</f>
        <v>0</v>
      </c>
    </row>
    <row r="123" spans="1:8" ht="15.75" x14ac:dyDescent="0.25">
      <c r="A123" s="90"/>
      <c r="B123" s="27" t="s">
        <v>132</v>
      </c>
      <c r="C123" s="27"/>
      <c r="D123" s="27"/>
      <c r="E123" s="27"/>
      <c r="F123" s="28"/>
      <c r="G123" s="45">
        <f>SUM(G118:G122)</f>
        <v>0.88341251654189934</v>
      </c>
      <c r="H123" s="28">
        <f>SUM(H118:H122)</f>
        <v>2791.3275677663332</v>
      </c>
    </row>
    <row r="124" spans="1:8" ht="15.75" x14ac:dyDescent="0.25">
      <c r="A124" s="90" t="s">
        <v>40</v>
      </c>
      <c r="B124" s="27" t="s">
        <v>133</v>
      </c>
      <c r="C124" s="27"/>
      <c r="D124" s="27"/>
      <c r="E124" s="27"/>
      <c r="F124" s="28"/>
      <c r="G124" s="45">
        <f>SUM(H124/H$125)</f>
        <v>0.11658748345810062</v>
      </c>
      <c r="H124" s="28">
        <f>H108+H109+H110</f>
        <v>368.38266442839404</v>
      </c>
    </row>
    <row r="125" spans="1:8" ht="15.75" x14ac:dyDescent="0.25">
      <c r="A125" s="55"/>
      <c r="B125" s="55" t="s">
        <v>134</v>
      </c>
      <c r="C125" s="55"/>
      <c r="D125" s="55"/>
      <c r="E125" s="55"/>
      <c r="F125" s="55"/>
      <c r="G125" s="55">
        <f>SUM(G123+G124)</f>
        <v>1</v>
      </c>
      <c r="H125" s="91">
        <f>H124+H123</f>
        <v>3159.7102321947273</v>
      </c>
    </row>
    <row r="126" spans="1:8" ht="15.75" x14ac:dyDescent="0.25">
      <c r="A126" s="92"/>
      <c r="B126" s="271" t="s">
        <v>135</v>
      </c>
      <c r="C126" s="271"/>
      <c r="D126" s="271"/>
      <c r="E126" s="271"/>
      <c r="F126" s="271"/>
      <c r="G126" s="271"/>
      <c r="H126" s="271"/>
    </row>
    <row r="127" spans="1:8" ht="47.25" x14ac:dyDescent="0.25">
      <c r="A127" s="27"/>
      <c r="B127" s="16" t="s">
        <v>20</v>
      </c>
      <c r="C127" s="16"/>
      <c r="D127" s="93" t="s">
        <v>136</v>
      </c>
      <c r="E127" s="93" t="s">
        <v>137</v>
      </c>
      <c r="F127" s="94" t="s">
        <v>138</v>
      </c>
      <c r="G127" s="93" t="s">
        <v>139</v>
      </c>
      <c r="H127" s="95" t="s">
        <v>140</v>
      </c>
    </row>
    <row r="128" spans="1:8"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3159.7102321947273</v>
      </c>
      <c r="E129" s="100">
        <v>6</v>
      </c>
      <c r="F129" s="99">
        <f>D129*E129</f>
        <v>18958.261393168363</v>
      </c>
      <c r="G129" s="101">
        <v>1</v>
      </c>
      <c r="H129" s="28">
        <f>G129*F129</f>
        <v>18958.261393168363</v>
      </c>
    </row>
    <row r="130" spans="1:8" ht="15.75" x14ac:dyDescent="0.25">
      <c r="A130" s="27"/>
      <c r="B130" s="102" t="s">
        <v>147</v>
      </c>
      <c r="C130" s="102"/>
      <c r="D130" s="103"/>
      <c r="E130" s="103"/>
      <c r="F130" s="103"/>
      <c r="G130" s="103"/>
      <c r="H130" s="104">
        <f>SUM(H129)</f>
        <v>18958.261393168363</v>
      </c>
    </row>
    <row r="131" spans="1:8" ht="15.75" x14ac:dyDescent="0.25">
      <c r="A131" s="27"/>
      <c r="B131" s="16"/>
      <c r="C131" s="16"/>
      <c r="D131" s="105"/>
      <c r="E131" s="16"/>
      <c r="F131" s="16"/>
      <c r="G131" s="16"/>
      <c r="H131" s="16"/>
    </row>
    <row r="132" spans="1:8" ht="15.75" x14ac:dyDescent="0.25">
      <c r="A132" s="83"/>
      <c r="B132" s="271" t="s">
        <v>148</v>
      </c>
      <c r="C132" s="271"/>
      <c r="D132" s="271"/>
      <c r="E132" s="271"/>
      <c r="F132" s="271"/>
      <c r="G132" s="271"/>
      <c r="H132" s="271"/>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3159.7102321947273</v>
      </c>
    </row>
    <row r="135" spans="1:8" ht="15.75" x14ac:dyDescent="0.25">
      <c r="A135" s="108" t="s">
        <v>7</v>
      </c>
      <c r="B135" s="109" t="s">
        <v>152</v>
      </c>
      <c r="C135" s="109"/>
      <c r="D135" s="109"/>
      <c r="E135" s="13"/>
      <c r="F135" s="13"/>
      <c r="G135" s="13"/>
      <c r="H135" s="107">
        <f>H130</f>
        <v>18958.261393168363</v>
      </c>
    </row>
    <row r="136" spans="1:8" ht="15.75" x14ac:dyDescent="0.25">
      <c r="A136" s="108" t="s">
        <v>17</v>
      </c>
      <c r="B136" s="7" t="s">
        <v>153</v>
      </c>
      <c r="C136" s="7"/>
      <c r="D136" s="109"/>
      <c r="E136" s="13"/>
      <c r="F136" s="13"/>
      <c r="G136" s="100">
        <v>12</v>
      </c>
      <c r="H136" s="107">
        <f>SUM(H135*G136)</f>
        <v>227499.13671802037</v>
      </c>
    </row>
    <row r="137" spans="1:8" ht="15.75" x14ac:dyDescent="0.25">
      <c r="A137" s="6"/>
      <c r="B137" s="6"/>
      <c r="C137" s="6"/>
      <c r="D137" s="6"/>
      <c r="E137" s="6"/>
      <c r="F137" s="6"/>
      <c r="G137" s="6"/>
      <c r="H137" s="6"/>
    </row>
  </sheetData>
  <mergeCells count="51">
    <mergeCell ref="E17:H17"/>
    <mergeCell ref="A3:H3"/>
    <mergeCell ref="E4:H6"/>
    <mergeCell ref="A7:D7"/>
    <mergeCell ref="A8:H8"/>
    <mergeCell ref="D9:H9"/>
    <mergeCell ref="D10:H10"/>
    <mergeCell ref="D11:H11"/>
    <mergeCell ref="D12:H12"/>
    <mergeCell ref="A14:H14"/>
    <mergeCell ref="E15:H15"/>
    <mergeCell ref="E16:H16"/>
    <mergeCell ref="D47:E48"/>
    <mergeCell ref="E18:H18"/>
    <mergeCell ref="B19:H19"/>
    <mergeCell ref="A20:H20"/>
    <mergeCell ref="D21:H21"/>
    <mergeCell ref="D22:H22"/>
    <mergeCell ref="D24:H24"/>
    <mergeCell ref="D25:H25"/>
    <mergeCell ref="B26:H26"/>
    <mergeCell ref="B39:H39"/>
    <mergeCell ref="B40:H40"/>
    <mergeCell ref="B45:H45"/>
    <mergeCell ref="B55:H55"/>
    <mergeCell ref="A57:A59"/>
    <mergeCell ref="D57:D58"/>
    <mergeCell ref="E57:E58"/>
    <mergeCell ref="F57:F58"/>
    <mergeCell ref="G57:G58"/>
    <mergeCell ref="B81:H81"/>
    <mergeCell ref="A60:A62"/>
    <mergeCell ref="D60:D61"/>
    <mergeCell ref="E60:E61"/>
    <mergeCell ref="F60:F61"/>
    <mergeCell ref="G60:G61"/>
    <mergeCell ref="B62:E62"/>
    <mergeCell ref="B63:E63"/>
    <mergeCell ref="B66:E66"/>
    <mergeCell ref="A67:H67"/>
    <mergeCell ref="B72:H72"/>
    <mergeCell ref="B80:H80"/>
    <mergeCell ref="B117:H117"/>
    <mergeCell ref="B126:H126"/>
    <mergeCell ref="B132:H132"/>
    <mergeCell ref="C83:C88"/>
    <mergeCell ref="E83:E88"/>
    <mergeCell ref="B92:H92"/>
    <mergeCell ref="A96:H96"/>
    <mergeCell ref="B100:H100"/>
    <mergeCell ref="B107:H107"/>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4"/>
  <sheetViews>
    <sheetView topLeftCell="A118" zoomScale="70" zoomScaleNormal="70" workbookViewId="0">
      <selection activeCell="G85" sqref="G85"/>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273" t="s">
        <v>3</v>
      </c>
      <c r="B3" s="273"/>
      <c r="C3" s="273"/>
      <c r="D3" s="273"/>
      <c r="E3" s="273"/>
      <c r="F3" s="273"/>
      <c r="G3" s="273"/>
      <c r="H3" s="273"/>
    </row>
    <row r="4" spans="1:8" ht="15.75" x14ac:dyDescent="0.25">
      <c r="A4" s="6" t="s">
        <v>4</v>
      </c>
      <c r="B4" s="7" t="s">
        <v>5</v>
      </c>
      <c r="C4" s="7"/>
      <c r="D4" s="8"/>
      <c r="E4" s="291" t="s">
        <v>6</v>
      </c>
      <c r="F4" s="291"/>
      <c r="G4" s="291"/>
      <c r="H4" s="291"/>
    </row>
    <row r="5" spans="1:8" ht="15.75" x14ac:dyDescent="0.25">
      <c r="A5" s="6" t="s">
        <v>7</v>
      </c>
      <c r="B5" s="7" t="s">
        <v>8</v>
      </c>
      <c r="C5" s="7"/>
      <c r="D5" s="9"/>
      <c r="E5" s="291"/>
      <c r="F5" s="291"/>
      <c r="G5" s="291"/>
      <c r="H5" s="291"/>
    </row>
    <row r="6" spans="1:8" ht="15.75" x14ac:dyDescent="0.25">
      <c r="A6" s="6" t="s">
        <v>9</v>
      </c>
      <c r="B6" s="7" t="s">
        <v>10</v>
      </c>
      <c r="C6" s="7"/>
      <c r="D6" s="10" t="s">
        <v>11</v>
      </c>
      <c r="E6" s="291"/>
      <c r="F6" s="291"/>
      <c r="G6" s="291"/>
      <c r="H6" s="291"/>
    </row>
    <row r="7" spans="1:8" ht="15.75" x14ac:dyDescent="0.25">
      <c r="A7" s="292"/>
      <c r="B7" s="292"/>
      <c r="C7" s="292"/>
      <c r="D7" s="292"/>
      <c r="E7" s="11"/>
      <c r="F7" s="11"/>
      <c r="G7" s="11"/>
      <c r="H7" s="11"/>
    </row>
    <row r="8" spans="1:8" ht="15.75" x14ac:dyDescent="0.25">
      <c r="A8" s="273" t="s">
        <v>12</v>
      </c>
      <c r="B8" s="273"/>
      <c r="C8" s="273"/>
      <c r="D8" s="273"/>
      <c r="E8" s="273"/>
      <c r="F8" s="273"/>
      <c r="G8" s="273"/>
      <c r="H8" s="273"/>
    </row>
    <row r="9" spans="1:8" x14ac:dyDescent="0.25">
      <c r="A9" s="12" t="s">
        <v>4</v>
      </c>
      <c r="B9" s="13" t="s">
        <v>13</v>
      </c>
      <c r="C9" s="13"/>
      <c r="D9" s="285" t="s">
        <v>14</v>
      </c>
      <c r="E9" s="285"/>
      <c r="F9" s="285"/>
      <c r="G9" s="285"/>
      <c r="H9" s="285"/>
    </row>
    <row r="10" spans="1:8" x14ac:dyDescent="0.25">
      <c r="A10" s="12" t="s">
        <v>7</v>
      </c>
      <c r="B10" s="13" t="s">
        <v>15</v>
      </c>
      <c r="C10" s="13"/>
      <c r="D10" s="293" t="s">
        <v>184</v>
      </c>
      <c r="E10" s="293"/>
      <c r="F10" s="293"/>
      <c r="G10" s="293"/>
      <c r="H10" s="293"/>
    </row>
    <row r="11" spans="1:8" x14ac:dyDescent="0.25">
      <c r="A11" s="12" t="s">
        <v>9</v>
      </c>
      <c r="B11" s="13" t="s">
        <v>16</v>
      </c>
      <c r="C11" s="13"/>
      <c r="D11" s="293" t="s">
        <v>174</v>
      </c>
      <c r="E11" s="293"/>
      <c r="F11" s="293"/>
      <c r="G11" s="293"/>
      <c r="H11" s="293"/>
    </row>
    <row r="12" spans="1:8" x14ac:dyDescent="0.25">
      <c r="A12" s="12" t="s">
        <v>17</v>
      </c>
      <c r="B12" s="13" t="s">
        <v>18</v>
      </c>
      <c r="C12" s="13"/>
      <c r="D12" s="293">
        <v>12</v>
      </c>
      <c r="E12" s="293"/>
      <c r="F12" s="293"/>
      <c r="G12" s="293"/>
      <c r="H12" s="293"/>
    </row>
    <row r="13" spans="1:8" x14ac:dyDescent="0.25">
      <c r="A13" s="12"/>
      <c r="B13" s="13"/>
      <c r="C13" s="13"/>
      <c r="D13" s="14"/>
      <c r="E13" s="14"/>
      <c r="F13" s="14"/>
      <c r="G13" s="14"/>
      <c r="H13" s="15"/>
    </row>
    <row r="14" spans="1:8" ht="15.75" x14ac:dyDescent="0.25">
      <c r="A14" s="273" t="s">
        <v>19</v>
      </c>
      <c r="B14" s="273"/>
      <c r="C14" s="273"/>
      <c r="D14" s="273"/>
      <c r="E14" s="273"/>
      <c r="F14" s="273"/>
      <c r="G14" s="273"/>
      <c r="H14" s="273"/>
    </row>
    <row r="15" spans="1:8" ht="15.75" x14ac:dyDescent="0.25">
      <c r="A15" s="12"/>
      <c r="B15" s="16" t="s">
        <v>20</v>
      </c>
      <c r="C15" s="16"/>
      <c r="D15" s="17" t="s">
        <v>21</v>
      </c>
      <c r="E15" s="294" t="s">
        <v>22</v>
      </c>
      <c r="F15" s="294"/>
      <c r="G15" s="294"/>
      <c r="H15" s="294"/>
    </row>
    <row r="16" spans="1:8" x14ac:dyDescent="0.25">
      <c r="A16" s="12" t="s">
        <v>4</v>
      </c>
      <c r="B16" s="18" t="s">
        <v>180</v>
      </c>
      <c r="C16" s="19"/>
      <c r="D16" s="20" t="s">
        <v>23</v>
      </c>
      <c r="E16" s="295">
        <v>1</v>
      </c>
      <c r="F16" s="295"/>
      <c r="G16" s="295"/>
      <c r="H16" s="295"/>
    </row>
    <row r="17" spans="1:9" x14ac:dyDescent="0.25">
      <c r="A17" s="12" t="s">
        <v>7</v>
      </c>
      <c r="B17" s="13"/>
      <c r="C17" s="13"/>
      <c r="D17" s="21"/>
      <c r="E17" s="283"/>
      <c r="F17" s="283"/>
      <c r="G17" s="283"/>
      <c r="H17" s="283"/>
    </row>
    <row r="18" spans="1:9" x14ac:dyDescent="0.25">
      <c r="A18" s="12" t="s">
        <v>9</v>
      </c>
      <c r="B18" s="13"/>
      <c r="C18" s="13"/>
      <c r="D18" s="21"/>
      <c r="E18" s="283"/>
      <c r="F18" s="283"/>
      <c r="G18" s="283"/>
      <c r="H18" s="283"/>
    </row>
    <row r="19" spans="1:9" ht="15.75" x14ac:dyDescent="0.25">
      <c r="A19" s="110"/>
      <c r="B19" s="273" t="s">
        <v>24</v>
      </c>
      <c r="C19" s="273"/>
      <c r="D19" s="273"/>
      <c r="E19" s="273"/>
      <c r="F19" s="273"/>
      <c r="G19" s="273"/>
      <c r="H19" s="273"/>
    </row>
    <row r="20" spans="1:9" ht="15.75" x14ac:dyDescent="0.25">
      <c r="A20" s="284" t="s">
        <v>25</v>
      </c>
      <c r="B20" s="284"/>
      <c r="C20" s="284"/>
      <c r="D20" s="284"/>
      <c r="E20" s="284"/>
      <c r="F20" s="284"/>
      <c r="G20" s="284"/>
      <c r="H20" s="284"/>
    </row>
    <row r="21" spans="1:9" x14ac:dyDescent="0.25">
      <c r="A21" s="12">
        <v>1</v>
      </c>
      <c r="B21" s="13" t="s">
        <v>20</v>
      </c>
      <c r="C21" s="13"/>
      <c r="D21" s="285" t="s">
        <v>182</v>
      </c>
      <c r="E21" s="285"/>
      <c r="F21" s="285"/>
      <c r="G21" s="285"/>
      <c r="H21" s="285"/>
    </row>
    <row r="22" spans="1:9" x14ac:dyDescent="0.25">
      <c r="A22" s="12">
        <v>2</v>
      </c>
      <c r="B22" s="13" t="s">
        <v>26</v>
      </c>
      <c r="C22" s="13"/>
      <c r="D22" s="286" t="s">
        <v>176</v>
      </c>
      <c r="E22" s="286"/>
      <c r="F22" s="286"/>
      <c r="G22" s="286"/>
      <c r="H22" s="286"/>
    </row>
    <row r="23" spans="1:9" x14ac:dyDescent="0.25">
      <c r="A23" s="12">
        <v>3</v>
      </c>
      <c r="B23" s="13" t="s">
        <v>27</v>
      </c>
      <c r="C23" s="13"/>
      <c r="D23" s="22">
        <v>1134.1099999999999</v>
      </c>
      <c r="E23" s="23"/>
      <c r="F23" s="23"/>
      <c r="G23" s="23"/>
      <c r="H23" s="23"/>
    </row>
    <row r="24" spans="1:9" ht="30" x14ac:dyDescent="0.25">
      <c r="A24" s="1">
        <v>4</v>
      </c>
      <c r="B24" s="24" t="s">
        <v>28</v>
      </c>
      <c r="C24" s="24"/>
      <c r="D24" s="287" t="s">
        <v>170</v>
      </c>
      <c r="E24" s="287"/>
      <c r="F24" s="287"/>
      <c r="G24" s="287"/>
      <c r="H24" s="287"/>
    </row>
    <row r="25" spans="1:9" x14ac:dyDescent="0.25">
      <c r="A25" s="1">
        <v>5</v>
      </c>
      <c r="B25" s="25" t="s">
        <v>29</v>
      </c>
      <c r="C25" s="25"/>
      <c r="D25" s="288" t="s">
        <v>171</v>
      </c>
      <c r="E25" s="288"/>
      <c r="F25" s="288"/>
      <c r="G25" s="288"/>
      <c r="H25" s="288"/>
    </row>
    <row r="26" spans="1:9" ht="15.75" x14ac:dyDescent="0.25">
      <c r="A26" s="26">
        <v>1</v>
      </c>
      <c r="B26" s="271" t="s">
        <v>30</v>
      </c>
      <c r="C26" s="271"/>
      <c r="D26" s="271"/>
      <c r="E26" s="271"/>
      <c r="F26" s="271"/>
      <c r="G26" s="271"/>
      <c r="H26" s="271"/>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289" t="s">
        <v>46</v>
      </c>
      <c r="C39" s="289"/>
      <c r="D39" s="289"/>
      <c r="E39" s="289"/>
      <c r="F39" s="289"/>
      <c r="G39" s="289"/>
      <c r="H39" s="289"/>
    </row>
    <row r="40" spans="1:9" ht="15.75" x14ac:dyDescent="0.25">
      <c r="A40" s="124" t="s">
        <v>47</v>
      </c>
      <c r="B40" s="290" t="s">
        <v>48</v>
      </c>
      <c r="C40" s="290"/>
      <c r="D40" s="290"/>
      <c r="E40" s="290"/>
      <c r="F40" s="290"/>
      <c r="G40" s="290"/>
      <c r="H40" s="290"/>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273" t="s">
        <v>53</v>
      </c>
      <c r="C45" s="273"/>
      <c r="D45" s="273"/>
      <c r="E45" s="273"/>
      <c r="F45" s="273"/>
      <c r="G45" s="273"/>
      <c r="H45" s="273"/>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282" t="s">
        <v>56</v>
      </c>
      <c r="E47" s="282"/>
      <c r="F47" s="28"/>
      <c r="G47" s="52">
        <v>1.4999999999999999E-2</v>
      </c>
      <c r="H47" s="28">
        <f t="shared" ref="H47:H53" si="0">SUM($H$38*G47)</f>
        <v>17.011649999999999</v>
      </c>
      <c r="I47" s="115"/>
    </row>
    <row r="48" spans="1:9" ht="15.75" x14ac:dyDescent="0.25">
      <c r="A48" s="1" t="s">
        <v>9</v>
      </c>
      <c r="B48" s="51" t="s">
        <v>57</v>
      </c>
      <c r="C48" s="51"/>
      <c r="D48" s="282"/>
      <c r="E48" s="282"/>
      <c r="F48" s="28"/>
      <c r="G48" s="52">
        <v>0.01</v>
      </c>
      <c r="H48" s="28">
        <f t="shared" si="0"/>
        <v>11.341099999999999</v>
      </c>
    </row>
    <row r="49" spans="1:13" ht="15.75" x14ac:dyDescent="0.25">
      <c r="A49" s="1" t="s">
        <v>17</v>
      </c>
      <c r="B49" s="51" t="s">
        <v>58</v>
      </c>
      <c r="C49" s="51"/>
      <c r="D49" s="27"/>
      <c r="E49" s="27"/>
      <c r="F49" s="28"/>
      <c r="G49" s="52">
        <v>2E-3</v>
      </c>
      <c r="H49" s="28">
        <f t="shared" si="0"/>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 t="shared" si="0"/>
        <v>90.728799999999993</v>
      </c>
    </row>
    <row r="52" spans="1:13" ht="15.75" x14ac:dyDescent="0.25">
      <c r="A52" s="127" t="s">
        <v>61</v>
      </c>
      <c r="B52" s="128" t="s">
        <v>62</v>
      </c>
      <c r="C52" s="128"/>
      <c r="D52" s="129"/>
      <c r="E52" s="129"/>
      <c r="F52" s="129"/>
      <c r="G52" s="130">
        <v>0.03</v>
      </c>
      <c r="H52" s="131">
        <f t="shared" si="0"/>
        <v>34.023299999999999</v>
      </c>
    </row>
    <row r="53" spans="1:13" ht="15.75" x14ac:dyDescent="0.25">
      <c r="A53" s="1" t="s">
        <v>43</v>
      </c>
      <c r="B53" s="51" t="s">
        <v>63</v>
      </c>
      <c r="C53" s="51"/>
      <c r="D53" s="27"/>
      <c r="E53" s="27"/>
      <c r="F53" s="28"/>
      <c r="G53" s="52">
        <v>6.0000000000000001E-3</v>
      </c>
      <c r="H53" s="28">
        <f t="shared" si="0"/>
        <v>6.8046599999999993</v>
      </c>
      <c r="I53" s="121">
        <f>H54+H43</f>
        <v>502.61759166400003</v>
      </c>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273" t="s">
        <v>65</v>
      </c>
      <c r="C55" s="273"/>
      <c r="D55" s="273"/>
      <c r="E55" s="273"/>
      <c r="F55" s="273"/>
      <c r="G55" s="273"/>
      <c r="H55" s="273"/>
    </row>
    <row r="56" spans="1:13" ht="15.75" x14ac:dyDescent="0.25">
      <c r="A56" s="6" t="s">
        <v>66</v>
      </c>
      <c r="B56" s="59"/>
      <c r="C56" s="59"/>
      <c r="D56" s="60" t="s">
        <v>67</v>
      </c>
      <c r="E56" s="60" t="s">
        <v>68</v>
      </c>
      <c r="F56" s="60" t="s">
        <v>69</v>
      </c>
      <c r="G56" s="60" t="s">
        <v>70</v>
      </c>
      <c r="H56" s="6"/>
    </row>
    <row r="57" spans="1:13" ht="15.75" x14ac:dyDescent="0.25">
      <c r="A57" s="274" t="s">
        <v>4</v>
      </c>
      <c r="B57" s="6" t="s">
        <v>71</v>
      </c>
      <c r="C57" s="6"/>
      <c r="D57" s="275"/>
      <c r="E57" s="276"/>
      <c r="F57" s="277"/>
      <c r="G57" s="278"/>
      <c r="H57" s="35">
        <f>F57*E57*D57</f>
        <v>0</v>
      </c>
    </row>
    <row r="58" spans="1:13" ht="15.75" x14ac:dyDescent="0.25">
      <c r="A58" s="274"/>
      <c r="B58" s="6" t="s">
        <v>72</v>
      </c>
      <c r="C58" s="6"/>
      <c r="D58" s="275"/>
      <c r="E58" s="275"/>
      <c r="F58" s="275"/>
      <c r="G58" s="275"/>
      <c r="H58" s="35">
        <f>H27*G57</f>
        <v>0</v>
      </c>
    </row>
    <row r="59" spans="1:13" ht="15.75" x14ac:dyDescent="0.25">
      <c r="A59" s="274"/>
      <c r="B59" s="8" t="s">
        <v>73</v>
      </c>
      <c r="C59" s="8"/>
      <c r="D59" s="8"/>
      <c r="E59" s="27"/>
      <c r="F59" s="27"/>
      <c r="G59" s="61"/>
      <c r="H59" s="35">
        <f>H57-H58</f>
        <v>0</v>
      </c>
    </row>
    <row r="60" spans="1:13" ht="15.75" x14ac:dyDescent="0.25">
      <c r="A60" s="274" t="s">
        <v>7</v>
      </c>
      <c r="B60" s="6" t="s">
        <v>74</v>
      </c>
      <c r="C60" s="6"/>
      <c r="D60" s="275">
        <v>1</v>
      </c>
      <c r="E60" s="276">
        <v>1</v>
      </c>
      <c r="F60" s="277">
        <v>145.22999999999999</v>
      </c>
      <c r="G60" s="278">
        <v>0.2</v>
      </c>
      <c r="H60" s="35">
        <f>F60*E60*D60</f>
        <v>145.22999999999999</v>
      </c>
    </row>
    <row r="61" spans="1:13" ht="15.75" x14ac:dyDescent="0.25">
      <c r="A61" s="274"/>
      <c r="B61" s="6" t="s">
        <v>72</v>
      </c>
      <c r="C61" s="6"/>
      <c r="D61" s="275"/>
      <c r="E61" s="275"/>
      <c r="F61" s="275"/>
      <c r="G61" s="275"/>
      <c r="H61" s="35">
        <f>H60*G60</f>
        <v>29.045999999999999</v>
      </c>
    </row>
    <row r="62" spans="1:13" ht="15.75" x14ac:dyDescent="0.25">
      <c r="A62" s="274"/>
      <c r="B62" s="279" t="s">
        <v>75</v>
      </c>
      <c r="C62" s="279"/>
      <c r="D62" s="279"/>
      <c r="E62" s="279"/>
      <c r="F62" s="13"/>
      <c r="G62" s="13"/>
      <c r="H62" s="35">
        <f>H60-H61</f>
        <v>116.184</v>
      </c>
    </row>
    <row r="63" spans="1:13" ht="15.75" x14ac:dyDescent="0.25">
      <c r="A63" s="62" t="s">
        <v>9</v>
      </c>
      <c r="B63" s="279" t="s">
        <v>76</v>
      </c>
      <c r="C63" s="279"/>
      <c r="D63" s="279"/>
      <c r="E63" s="279"/>
      <c r="F63" s="13"/>
      <c r="G63" s="13"/>
      <c r="H63" s="35">
        <v>0</v>
      </c>
    </row>
    <row r="64" spans="1:13" ht="15.75" x14ac:dyDescent="0.25">
      <c r="A64" s="62" t="s">
        <v>17</v>
      </c>
      <c r="B64" s="117" t="s">
        <v>177</v>
      </c>
      <c r="C64" s="117"/>
      <c r="D64" s="117"/>
      <c r="E64" s="117" t="s">
        <v>163</v>
      </c>
      <c r="F64" s="13"/>
      <c r="G64" s="13"/>
      <c r="H64" s="35">
        <v>100</v>
      </c>
      <c r="J64" s="125"/>
      <c r="K64" s="13"/>
      <c r="L64" s="13"/>
      <c r="M64" s="35">
        <v>0</v>
      </c>
    </row>
    <row r="65" spans="1:13" ht="15.75" x14ac:dyDescent="0.25">
      <c r="A65" s="62" t="s">
        <v>40</v>
      </c>
      <c r="B65" s="116" t="s">
        <v>223</v>
      </c>
      <c r="C65" s="117"/>
      <c r="D65" s="117"/>
      <c r="E65" s="117"/>
      <c r="F65" s="13"/>
      <c r="G65" s="13"/>
      <c r="H65" s="35">
        <v>3.53</v>
      </c>
      <c r="J65" s="149"/>
      <c r="K65" s="13"/>
      <c r="L65" s="13"/>
      <c r="M65" s="35"/>
    </row>
    <row r="66" spans="1:13" ht="15.75" x14ac:dyDescent="0.25">
      <c r="A66" s="62" t="s">
        <v>42</v>
      </c>
      <c r="B66" s="116" t="s">
        <v>78</v>
      </c>
      <c r="C66" s="116"/>
      <c r="D66" s="116"/>
      <c r="E66" s="118">
        <v>0</v>
      </c>
      <c r="H66" s="35">
        <f>(1/12*(H27+H28+H30))*E66</f>
        <v>0</v>
      </c>
    </row>
    <row r="67" spans="1:13" ht="15.75" x14ac:dyDescent="0.25">
      <c r="A67" s="63"/>
      <c r="B67" s="280" t="s">
        <v>45</v>
      </c>
      <c r="C67" s="280"/>
      <c r="D67" s="280"/>
      <c r="E67" s="280"/>
      <c r="F67" s="64"/>
      <c r="G67" s="64"/>
      <c r="H67" s="65">
        <f>H59+H62+H63+H64+H65+H66</f>
        <v>219.714</v>
      </c>
    </row>
    <row r="68" spans="1:13" ht="15.75" x14ac:dyDescent="0.25">
      <c r="A68" s="273" t="s">
        <v>79</v>
      </c>
      <c r="B68" s="273"/>
      <c r="C68" s="273"/>
      <c r="D68" s="273"/>
      <c r="E68" s="273"/>
      <c r="F68" s="273"/>
      <c r="G68" s="273"/>
      <c r="H68" s="273"/>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219.714</v>
      </c>
    </row>
    <row r="72" spans="1:13" ht="15.75" x14ac:dyDescent="0.25">
      <c r="A72" s="63"/>
      <c r="B72" s="126" t="s">
        <v>45</v>
      </c>
      <c r="C72" s="126"/>
      <c r="D72" s="126"/>
      <c r="E72" s="126"/>
      <c r="F72" s="64"/>
      <c r="G72" s="64"/>
      <c r="H72" s="65">
        <f>SUM(H69:H71)</f>
        <v>954.03026466400001</v>
      </c>
    </row>
    <row r="73" spans="1:13" ht="15.75" x14ac:dyDescent="0.25">
      <c r="A73" s="68">
        <v>3</v>
      </c>
      <c r="B73" s="271" t="s">
        <v>83</v>
      </c>
      <c r="C73" s="271"/>
      <c r="D73" s="271"/>
      <c r="E73" s="271"/>
      <c r="F73" s="271"/>
      <c r="G73" s="271"/>
      <c r="H73" s="271"/>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2.0000000000000001E-4</v>
      </c>
      <c r="H76" s="72">
        <f>(ROUND(SUM($H$38*G76),2))</f>
        <v>0.23</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225</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1E-4</v>
      </c>
      <c r="H79" s="28">
        <f>SUM($H$38*G79)</f>
        <v>0.113411</v>
      </c>
    </row>
    <row r="80" spans="1:13" ht="15.75" x14ac:dyDescent="0.25">
      <c r="A80" s="73"/>
      <c r="B80" s="55" t="s">
        <v>45</v>
      </c>
      <c r="C80" s="55"/>
      <c r="D80" s="41"/>
      <c r="E80" s="41"/>
      <c r="F80" s="74"/>
      <c r="G80" s="57">
        <f>SUM(G74:G79)</f>
        <v>3.1375200000000006E-2</v>
      </c>
      <c r="H80" s="58">
        <f>SUM(H74:H79)</f>
        <v>35.586106072</v>
      </c>
    </row>
    <row r="81" spans="1:9" ht="15.75" x14ac:dyDescent="0.25">
      <c r="A81" s="44">
        <v>4</v>
      </c>
      <c r="B81" s="281" t="s">
        <v>90</v>
      </c>
      <c r="C81" s="281"/>
      <c r="D81" s="281"/>
      <c r="E81" s="281"/>
      <c r="F81" s="281"/>
      <c r="G81" s="281"/>
      <c r="H81" s="281"/>
    </row>
    <row r="82" spans="1:9" ht="15.75" x14ac:dyDescent="0.25">
      <c r="A82" s="75" t="s">
        <v>91</v>
      </c>
      <c r="B82" s="273" t="s">
        <v>236</v>
      </c>
      <c r="C82" s="273"/>
      <c r="D82" s="273"/>
      <c r="E82" s="273"/>
      <c r="F82" s="273"/>
      <c r="G82" s="273"/>
      <c r="H82" s="273"/>
    </row>
    <row r="83" spans="1:9" ht="15.75" x14ac:dyDescent="0.25">
      <c r="A83" s="12" t="s">
        <v>4</v>
      </c>
      <c r="B83" s="51" t="s">
        <v>226</v>
      </c>
      <c r="C83" s="51"/>
      <c r="D83" s="53"/>
      <c r="E83" s="53"/>
      <c r="F83" s="53"/>
      <c r="G83" s="45">
        <f>(G41+G42)/12</f>
        <v>1.7024999999999998E-2</v>
      </c>
      <c r="H83" s="28"/>
    </row>
    <row r="84" spans="1:9" ht="15.75" x14ac:dyDescent="0.25">
      <c r="A84" s="123" t="s">
        <v>7</v>
      </c>
      <c r="B84" s="51" t="s">
        <v>227</v>
      </c>
      <c r="C84" s="272" t="s">
        <v>95</v>
      </c>
      <c r="D84" s="76">
        <v>1</v>
      </c>
      <c r="E84" s="272" t="s">
        <v>96</v>
      </c>
      <c r="F84" s="77">
        <v>1</v>
      </c>
      <c r="G84" s="45">
        <f t="shared" ref="G84:G89" si="1">D84/360*F84</f>
        <v>2.7777777777777779E-3</v>
      </c>
      <c r="H84" s="28">
        <f t="shared" ref="H84:H88" si="2">SUM(H$38*G84)</f>
        <v>3.1503055555555552</v>
      </c>
    </row>
    <row r="85" spans="1:9" ht="15.75" x14ac:dyDescent="0.25">
      <c r="A85" s="12" t="s">
        <v>9</v>
      </c>
      <c r="B85" s="51" t="s">
        <v>228</v>
      </c>
      <c r="C85" s="272"/>
      <c r="D85" s="76">
        <v>20</v>
      </c>
      <c r="E85" s="272"/>
      <c r="F85" s="77">
        <v>1.4999999999999999E-2</v>
      </c>
      <c r="G85" s="45">
        <f t="shared" si="1"/>
        <v>8.3333333333333328E-4</v>
      </c>
      <c r="H85" s="28">
        <f t="shared" si="2"/>
        <v>0.94509166666666655</v>
      </c>
    </row>
    <row r="86" spans="1:9" ht="15.75" x14ac:dyDescent="0.25">
      <c r="A86" s="12" t="s">
        <v>17</v>
      </c>
      <c r="B86" s="51" t="s">
        <v>229</v>
      </c>
      <c r="C86" s="272"/>
      <c r="D86" s="76">
        <v>15</v>
      </c>
      <c r="E86" s="272"/>
      <c r="F86" s="78">
        <v>1.3299999999999999E-2</v>
      </c>
      <c r="G86" s="45">
        <f t="shared" si="1"/>
        <v>5.5416666666666657E-4</v>
      </c>
      <c r="H86" s="28">
        <f t="shared" si="2"/>
        <v>0.62848595833333321</v>
      </c>
    </row>
    <row r="87" spans="1:9" ht="15.75" x14ac:dyDescent="0.25">
      <c r="A87" s="12" t="s">
        <v>40</v>
      </c>
      <c r="B87" s="51" t="s">
        <v>230</v>
      </c>
      <c r="C87" s="272"/>
      <c r="D87" s="76">
        <v>180</v>
      </c>
      <c r="E87" s="272"/>
      <c r="F87" s="77">
        <v>1.8599999999999998E-2</v>
      </c>
      <c r="G87" s="45">
        <f t="shared" si="1"/>
        <v>9.2999999999999992E-3</v>
      </c>
      <c r="H87" s="28">
        <f t="shared" si="2"/>
        <v>10.547222999999999</v>
      </c>
    </row>
    <row r="88" spans="1:9" ht="15.75" x14ac:dyDescent="0.25">
      <c r="A88" s="12" t="s">
        <v>42</v>
      </c>
      <c r="B88" s="51" t="s">
        <v>231</v>
      </c>
      <c r="C88" s="272"/>
      <c r="D88" s="79">
        <v>5</v>
      </c>
      <c r="E88" s="272"/>
      <c r="F88" s="80">
        <v>1</v>
      </c>
      <c r="G88" s="45">
        <f t="shared" si="1"/>
        <v>1.3888888888888888E-2</v>
      </c>
      <c r="H88" s="81">
        <f t="shared" si="2"/>
        <v>15.751527777777776</v>
      </c>
    </row>
    <row r="89" spans="1:9" ht="15.75" x14ac:dyDescent="0.25">
      <c r="A89" s="12" t="s">
        <v>61</v>
      </c>
      <c r="B89" s="51" t="s">
        <v>101</v>
      </c>
      <c r="C89" s="272"/>
      <c r="D89" s="79"/>
      <c r="E89" s="272"/>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273" t="s">
        <v>232</v>
      </c>
      <c r="C93" s="273"/>
      <c r="D93" s="273"/>
      <c r="E93" s="273"/>
      <c r="F93" s="273"/>
      <c r="G93" s="273"/>
      <c r="H93" s="273"/>
    </row>
    <row r="94" spans="1:9" ht="15.75" x14ac:dyDescent="0.25">
      <c r="A94" s="12" t="s">
        <v>4</v>
      </c>
      <c r="B94" s="51" t="s">
        <v>234</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273" t="s">
        <v>108</v>
      </c>
      <c r="B97" s="273"/>
      <c r="C97" s="273"/>
      <c r="D97" s="273"/>
      <c r="E97" s="273"/>
      <c r="F97" s="273"/>
      <c r="G97" s="273"/>
      <c r="H97" s="273"/>
    </row>
    <row r="98" spans="1:10" ht="15.75" x14ac:dyDescent="0.25">
      <c r="A98" s="12" t="s">
        <v>91</v>
      </c>
      <c r="B98" s="51" t="s">
        <v>235</v>
      </c>
      <c r="C98" s="51"/>
      <c r="D98" s="53"/>
      <c r="E98" s="53"/>
      <c r="F98" s="53"/>
      <c r="G98" s="45">
        <f>G92</f>
        <v>6.0710699999999999E-2</v>
      </c>
      <c r="H98" s="28">
        <f>H92</f>
        <v>42.438963254999997</v>
      </c>
    </row>
    <row r="99" spans="1:10" ht="15.75" x14ac:dyDescent="0.25">
      <c r="A99" s="12" t="s">
        <v>104</v>
      </c>
      <c r="B99" s="51" t="s">
        <v>233</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273" t="s">
        <v>110</v>
      </c>
      <c r="C101" s="273"/>
      <c r="D101" s="273"/>
      <c r="E101" s="273"/>
      <c r="F101" s="273"/>
      <c r="G101" s="273"/>
      <c r="H101" s="273"/>
    </row>
    <row r="102" spans="1:10" ht="15.75" x14ac:dyDescent="0.25">
      <c r="A102" s="12" t="s">
        <v>4</v>
      </c>
      <c r="B102" s="13" t="s">
        <v>111</v>
      </c>
      <c r="C102" s="13"/>
      <c r="D102" s="84"/>
      <c r="E102" s="27"/>
      <c r="F102" s="85"/>
      <c r="G102" s="85"/>
      <c r="H102" s="85">
        <v>23.6</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5.21</v>
      </c>
    </row>
    <row r="105" spans="1:10" ht="15.75" x14ac:dyDescent="0.25">
      <c r="A105" s="12" t="s">
        <v>17</v>
      </c>
      <c r="B105" s="13" t="s">
        <v>164</v>
      </c>
      <c r="C105" s="13"/>
      <c r="D105" s="84"/>
      <c r="E105" s="27"/>
      <c r="F105" s="85"/>
      <c r="G105" s="85"/>
      <c r="H105" s="85">
        <v>37.75</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66.56</v>
      </c>
    </row>
    <row r="108" spans="1:10" ht="15.75" x14ac:dyDescent="0.25">
      <c r="A108" s="83">
        <v>6</v>
      </c>
      <c r="B108" s="273" t="s">
        <v>114</v>
      </c>
      <c r="C108" s="273"/>
      <c r="D108" s="273"/>
      <c r="E108" s="273"/>
      <c r="F108" s="273"/>
      <c r="G108" s="273"/>
      <c r="H108" s="273"/>
    </row>
    <row r="109" spans="1:10" ht="15.75" x14ac:dyDescent="0.25">
      <c r="A109" s="86" t="s">
        <v>4</v>
      </c>
      <c r="B109" s="27"/>
      <c r="C109" s="27"/>
      <c r="D109" s="27"/>
      <c r="E109" s="27"/>
      <c r="F109" s="27" t="s">
        <v>115</v>
      </c>
      <c r="G109" s="52">
        <v>0.01</v>
      </c>
      <c r="H109" s="28">
        <f>G109*H124</f>
        <v>22.327253339909998</v>
      </c>
    </row>
    <row r="110" spans="1:10" ht="15.75" x14ac:dyDescent="0.25">
      <c r="A110" s="86" t="s">
        <v>7</v>
      </c>
      <c r="B110" s="27"/>
      <c r="C110" s="27"/>
      <c r="D110" s="27"/>
      <c r="E110" s="27"/>
      <c r="F110" s="12" t="s">
        <v>116</v>
      </c>
      <c r="G110" s="52">
        <v>0.01</v>
      </c>
      <c r="H110" s="28">
        <f>(H109+H124)*$G$110</f>
        <v>22.550525873309098</v>
      </c>
    </row>
    <row r="111" spans="1:10" ht="15.75" x14ac:dyDescent="0.25">
      <c r="A111" s="86" t="s">
        <v>9</v>
      </c>
      <c r="B111" s="27"/>
      <c r="C111" s="27"/>
      <c r="D111" s="27"/>
      <c r="E111" s="27"/>
      <c r="F111" s="12" t="s">
        <v>117</v>
      </c>
      <c r="G111" s="87">
        <f>SUM(G112:G116)</f>
        <v>8.6499999999999994E-2</v>
      </c>
      <c r="H111" s="28">
        <f>H113+H114+H116</f>
        <v>215.66794667998352</v>
      </c>
    </row>
    <row r="112" spans="1:10" ht="15.75" x14ac:dyDescent="0.25">
      <c r="A112" s="86" t="s">
        <v>118</v>
      </c>
      <c r="B112" s="27"/>
      <c r="C112" s="27"/>
      <c r="D112" s="27"/>
      <c r="E112" s="27"/>
      <c r="F112" s="88" t="s">
        <v>119</v>
      </c>
      <c r="G112" s="45">
        <v>0</v>
      </c>
      <c r="H112" s="28">
        <f>SUM(H$126*$G$112)</f>
        <v>0</v>
      </c>
      <c r="J112" s="120"/>
    </row>
    <row r="113" spans="1:9" ht="15.75" x14ac:dyDescent="0.25">
      <c r="A113" s="86" t="s">
        <v>120</v>
      </c>
      <c r="B113" s="27"/>
      <c r="C113" s="27"/>
      <c r="D113" s="27"/>
      <c r="E113" s="27"/>
      <c r="F113" s="88" t="s">
        <v>121</v>
      </c>
      <c r="G113" s="52">
        <v>6.4999999999999997E-3</v>
      </c>
      <c r="H113" s="28">
        <f>((H109+H110+H124)/0.9135)*G113</f>
        <v>16.206261889247315</v>
      </c>
    </row>
    <row r="114" spans="1:9" ht="15.75" x14ac:dyDescent="0.25">
      <c r="A114" s="86" t="s">
        <v>122</v>
      </c>
      <c r="B114" s="27"/>
      <c r="C114" s="27"/>
      <c r="D114" s="27"/>
      <c r="E114" s="27"/>
      <c r="F114" s="88" t="s">
        <v>123</v>
      </c>
      <c r="G114" s="52">
        <v>0.03</v>
      </c>
      <c r="H114" s="28">
        <f>((H109+H110+H124)/0.9135)*G114</f>
        <v>74.798131796526079</v>
      </c>
    </row>
    <row r="115" spans="1:9" ht="15.75" x14ac:dyDescent="0.25">
      <c r="A115" s="86" t="s">
        <v>124</v>
      </c>
      <c r="B115" s="27"/>
      <c r="C115" s="27"/>
      <c r="D115" s="27"/>
      <c r="E115" s="27"/>
      <c r="F115" s="88" t="s">
        <v>125</v>
      </c>
      <c r="G115" s="45">
        <v>0</v>
      </c>
      <c r="H115" s="28"/>
    </row>
    <row r="116" spans="1:9" ht="15.75" x14ac:dyDescent="0.25">
      <c r="A116" s="86" t="s">
        <v>126</v>
      </c>
      <c r="B116" s="27"/>
      <c r="C116" s="27"/>
      <c r="D116" s="27"/>
      <c r="E116" s="27"/>
      <c r="F116" s="88" t="s">
        <v>127</v>
      </c>
      <c r="G116" s="45">
        <v>0.05</v>
      </c>
      <c r="H116" s="28">
        <f>((H109+H110+H124)/0.9135)*G116</f>
        <v>124.66355299421014</v>
      </c>
    </row>
    <row r="117" spans="1:9" ht="15.75" x14ac:dyDescent="0.25">
      <c r="A117" s="73"/>
      <c r="B117" s="55" t="s">
        <v>45</v>
      </c>
      <c r="C117" s="55"/>
      <c r="D117" s="41"/>
      <c r="E117" s="41"/>
      <c r="F117" s="74"/>
      <c r="G117" s="57">
        <f>G111+G110+G109</f>
        <v>0.10649999999999998</v>
      </c>
      <c r="H117" s="58">
        <f>H109+H110+H111</f>
        <v>260.54572589320264</v>
      </c>
    </row>
    <row r="118" spans="1:9" ht="15.75" x14ac:dyDescent="0.25">
      <c r="A118" s="89"/>
      <c r="B118" s="271" t="s">
        <v>128</v>
      </c>
      <c r="C118" s="271"/>
      <c r="D118" s="271"/>
      <c r="E118" s="271"/>
      <c r="F118" s="271"/>
      <c r="G118" s="271"/>
      <c r="H118" s="271"/>
    </row>
    <row r="119" spans="1:9" ht="15.75" x14ac:dyDescent="0.25">
      <c r="A119" s="90" t="s">
        <v>4</v>
      </c>
      <c r="B119" s="27" t="s">
        <v>30</v>
      </c>
      <c r="C119" s="27"/>
      <c r="D119" s="27"/>
      <c r="E119" s="27"/>
      <c r="F119" s="28"/>
      <c r="G119" s="45">
        <f>SUM(H119/H$126)</f>
        <v>0.45486831265457056</v>
      </c>
      <c r="H119" s="28">
        <f>H38</f>
        <v>1134.1099999999999</v>
      </c>
    </row>
    <row r="120" spans="1:9" ht="15.75" x14ac:dyDescent="0.25">
      <c r="A120" s="90" t="s">
        <v>7</v>
      </c>
      <c r="B120" s="27" t="s">
        <v>129</v>
      </c>
      <c r="C120" s="27"/>
      <c r="D120" s="27"/>
      <c r="E120" s="27"/>
      <c r="F120" s="28"/>
      <c r="G120" s="45">
        <f>SUM(H120/H$126)</f>
        <v>0.38264201595004638</v>
      </c>
      <c r="H120" s="28">
        <f>H72</f>
        <v>954.03026466400001</v>
      </c>
    </row>
    <row r="121" spans="1:9" ht="15.75" x14ac:dyDescent="0.25">
      <c r="A121" s="90" t="s">
        <v>9</v>
      </c>
      <c r="B121" s="27" t="s">
        <v>130</v>
      </c>
      <c r="C121" s="27"/>
      <c r="D121" s="27"/>
      <c r="E121" s="27"/>
      <c r="F121" s="28"/>
      <c r="G121" s="45">
        <f>SUM(H121/H$126)</f>
        <v>1.4272858913965321E-2</v>
      </c>
      <c r="H121" s="28">
        <f>H80</f>
        <v>35.586106072</v>
      </c>
      <c r="I121" s="115">
        <f>H109+H110+H124</f>
        <v>2277.603113204219</v>
      </c>
    </row>
    <row r="122" spans="1:9" ht="15.75" x14ac:dyDescent="0.25">
      <c r="A122" s="90" t="s">
        <v>17</v>
      </c>
      <c r="B122" s="27" t="s">
        <v>131</v>
      </c>
      <c r="C122" s="27"/>
      <c r="D122" s="27"/>
      <c r="E122" s="27"/>
      <c r="F122" s="28"/>
      <c r="G122" s="45">
        <f>SUM(H122/H$126)</f>
        <v>1.7021399693690358E-2</v>
      </c>
      <c r="H122" s="28">
        <f>H100</f>
        <v>42.438963254999997</v>
      </c>
      <c r="I122" s="115">
        <f>I121/0.9135</f>
        <v>2493.2710598842027</v>
      </c>
    </row>
    <row r="123" spans="1:9" ht="15.75" x14ac:dyDescent="0.25">
      <c r="A123" s="90" t="s">
        <v>40</v>
      </c>
      <c r="B123" s="27" t="s">
        <v>110</v>
      </c>
      <c r="C123" s="27"/>
      <c r="D123" s="27"/>
      <c r="E123" s="27"/>
      <c r="F123" s="28"/>
      <c r="G123" s="45">
        <f>H123/H126</f>
        <v>2.6695853920949662E-2</v>
      </c>
      <c r="H123" s="28">
        <f>H107</f>
        <v>66.56</v>
      </c>
    </row>
    <row r="124" spans="1:9" ht="15.75" x14ac:dyDescent="0.25">
      <c r="A124" s="90"/>
      <c r="B124" s="27" t="s">
        <v>132</v>
      </c>
      <c r="C124" s="27"/>
      <c r="D124" s="27"/>
      <c r="E124" s="27"/>
      <c r="F124" s="28"/>
      <c r="G124" s="45">
        <f>SUM(G119:G123)</f>
        <v>0.89550044113322225</v>
      </c>
      <c r="H124" s="28">
        <f>SUM(H119:H123)</f>
        <v>2232.7253339909998</v>
      </c>
    </row>
    <row r="125" spans="1:9" ht="15.75" x14ac:dyDescent="0.25">
      <c r="A125" s="90" t="s">
        <v>40</v>
      </c>
      <c r="B125" s="27" t="s">
        <v>133</v>
      </c>
      <c r="C125" s="27"/>
      <c r="D125" s="27"/>
      <c r="E125" s="27"/>
      <c r="F125" s="28"/>
      <c r="G125" s="45">
        <f>SUM(H125/H$126)</f>
        <v>0.10449955886677779</v>
      </c>
      <c r="H125" s="28">
        <f>H117</f>
        <v>260.54572589320264</v>
      </c>
    </row>
    <row r="126" spans="1:9" ht="15.75" x14ac:dyDescent="0.25">
      <c r="A126" s="55"/>
      <c r="B126" s="55" t="s">
        <v>134</v>
      </c>
      <c r="C126" s="55"/>
      <c r="D126" s="55"/>
      <c r="E126" s="55"/>
      <c r="F126" s="55"/>
      <c r="G126" s="55">
        <f>SUM(G124+G125)</f>
        <v>1</v>
      </c>
      <c r="H126" s="91">
        <f>H125+H124</f>
        <v>2493.2710598842023</v>
      </c>
    </row>
    <row r="127" spans="1:9" ht="15.75" x14ac:dyDescent="0.25">
      <c r="A127" s="92"/>
      <c r="B127" s="271" t="s">
        <v>135</v>
      </c>
      <c r="C127" s="271"/>
      <c r="D127" s="271"/>
      <c r="E127" s="271"/>
      <c r="F127" s="271"/>
      <c r="G127" s="271"/>
      <c r="H127" s="271"/>
    </row>
    <row r="128" spans="1:9"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2493.2710598842023</v>
      </c>
      <c r="E130" s="100">
        <v>1</v>
      </c>
      <c r="F130" s="99">
        <f>D130*E130</f>
        <v>2493.2710598842023</v>
      </c>
      <c r="G130" s="101">
        <v>1</v>
      </c>
      <c r="H130" s="28">
        <f>E130*D130</f>
        <v>2493.2710598842023</v>
      </c>
    </row>
    <row r="131" spans="1:8" ht="15.75" x14ac:dyDescent="0.25">
      <c r="A131" s="27"/>
      <c r="B131" s="102" t="s">
        <v>147</v>
      </c>
      <c r="C131" s="102"/>
      <c r="D131" s="103"/>
      <c r="E131" s="103"/>
      <c r="F131" s="103"/>
      <c r="G131" s="103"/>
      <c r="H131" s="104">
        <f>SUM(H130)</f>
        <v>2493.2710598842023</v>
      </c>
    </row>
    <row r="132" spans="1:8" ht="15.75" x14ac:dyDescent="0.25">
      <c r="A132" s="27"/>
      <c r="B132" s="16"/>
      <c r="C132" s="16"/>
      <c r="D132" s="105"/>
      <c r="E132" s="16"/>
      <c r="F132" s="16"/>
      <c r="G132" s="16"/>
      <c r="H132" s="16"/>
    </row>
    <row r="133" spans="1:8" ht="15.75" x14ac:dyDescent="0.25">
      <c r="A133" s="83"/>
      <c r="B133" s="271" t="s">
        <v>148</v>
      </c>
      <c r="C133" s="271"/>
      <c r="D133" s="271"/>
      <c r="E133" s="271"/>
      <c r="F133" s="271"/>
      <c r="G133" s="271"/>
      <c r="H133" s="271"/>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2493.2710598842023</v>
      </c>
    </row>
    <row r="136" spans="1:8" ht="15.75" x14ac:dyDescent="0.25">
      <c r="A136" s="108" t="s">
        <v>7</v>
      </c>
      <c r="B136" s="109" t="s">
        <v>152</v>
      </c>
      <c r="C136" s="109"/>
      <c r="D136" s="109"/>
      <c r="E136" s="13"/>
      <c r="F136" s="13"/>
      <c r="G136" s="13"/>
      <c r="H136" s="107">
        <f>H131</f>
        <v>2493.2710598842023</v>
      </c>
    </row>
    <row r="137" spans="1:8" ht="15.75" x14ac:dyDescent="0.25">
      <c r="A137" s="108" t="s">
        <v>17</v>
      </c>
      <c r="B137" s="7" t="s">
        <v>153</v>
      </c>
      <c r="C137" s="7"/>
      <c r="D137" s="109"/>
      <c r="E137" s="13"/>
      <c r="F137" s="13"/>
      <c r="G137" s="100">
        <v>12</v>
      </c>
      <c r="H137" s="107">
        <f>SUM(H136*G137)</f>
        <v>29919.252718610427</v>
      </c>
    </row>
    <row r="138" spans="1:8" ht="15.75" x14ac:dyDescent="0.25">
      <c r="A138" s="6"/>
      <c r="B138" s="6"/>
      <c r="C138" s="6"/>
      <c r="D138" s="6"/>
      <c r="E138" s="6"/>
      <c r="F138" s="6"/>
      <c r="G138" s="6"/>
      <c r="H138" s="6"/>
    </row>
    <row r="140" spans="1:8" x14ac:dyDescent="0.25">
      <c r="A140" s="150" t="s">
        <v>203</v>
      </c>
      <c r="B140" s="150"/>
    </row>
    <row r="141" spans="1:8" x14ac:dyDescent="0.25">
      <c r="A141" s="150" t="s">
        <v>204</v>
      </c>
      <c r="B141" s="150"/>
    </row>
    <row r="142" spans="1:8" x14ac:dyDescent="0.25">
      <c r="A142" s="150" t="s">
        <v>205</v>
      </c>
      <c r="B142" s="150"/>
    </row>
    <row r="143" spans="1:8" x14ac:dyDescent="0.25">
      <c r="A143" s="150"/>
      <c r="B143" s="150"/>
    </row>
    <row r="144" spans="1:8" x14ac:dyDescent="0.25">
      <c r="A144" s="150" t="s">
        <v>206</v>
      </c>
      <c r="B144" s="150"/>
    </row>
    <row r="146" spans="1:6" x14ac:dyDescent="0.25">
      <c r="A146" t="s">
        <v>207</v>
      </c>
    </row>
    <row r="147" spans="1:6" x14ac:dyDescent="0.25">
      <c r="A147" s="150" t="s">
        <v>208</v>
      </c>
    </row>
    <row r="148" spans="1:6" x14ac:dyDescent="0.25">
      <c r="A148" s="150" t="s">
        <v>209</v>
      </c>
    </row>
    <row r="149" spans="1:6" x14ac:dyDescent="0.25">
      <c r="A149" s="150"/>
    </row>
    <row r="150" spans="1:6" x14ac:dyDescent="0.25">
      <c r="A150" s="150" t="s">
        <v>210</v>
      </c>
    </row>
    <row r="151" spans="1:6" x14ac:dyDescent="0.25">
      <c r="A151" s="150"/>
    </row>
    <row r="152" spans="1:6" x14ac:dyDescent="0.25">
      <c r="A152" s="150" t="s">
        <v>211</v>
      </c>
    </row>
    <row r="153" spans="1:6" x14ac:dyDescent="0.25">
      <c r="A153" s="150" t="s">
        <v>212</v>
      </c>
    </row>
    <row r="154" spans="1:6" x14ac:dyDescent="0.25">
      <c r="A154" s="150"/>
    </row>
    <row r="155" spans="1:6" x14ac:dyDescent="0.25">
      <c r="A155" s="150" t="s">
        <v>206</v>
      </c>
    </row>
    <row r="156" spans="1:6" x14ac:dyDescent="0.25">
      <c r="A156" s="150" t="s">
        <v>222</v>
      </c>
    </row>
    <row r="157" spans="1:6" x14ac:dyDescent="0.25">
      <c r="B157" s="151" t="s">
        <v>213</v>
      </c>
      <c r="C157" s="152"/>
      <c r="D157" s="152"/>
      <c r="E157" s="152"/>
      <c r="F157" s="152"/>
    </row>
    <row r="158" spans="1:6" x14ac:dyDescent="0.25">
      <c r="B158" s="151"/>
      <c r="C158" s="152"/>
      <c r="D158" s="152"/>
      <c r="E158" s="152"/>
      <c r="F158" s="152"/>
    </row>
    <row r="159" spans="1:6" x14ac:dyDescent="0.25">
      <c r="B159" s="151" t="s">
        <v>214</v>
      </c>
      <c r="C159" s="152" t="s">
        <v>215</v>
      </c>
      <c r="D159" s="152" t="s">
        <v>216</v>
      </c>
      <c r="E159" s="152" t="s">
        <v>217</v>
      </c>
      <c r="F159" s="152" t="s">
        <v>218</v>
      </c>
    </row>
    <row r="160" spans="1:6" x14ac:dyDescent="0.25">
      <c r="B160" s="151" t="s">
        <v>219</v>
      </c>
      <c r="C160" s="153">
        <v>1.6500000000000001E-2</v>
      </c>
      <c r="D160" s="153">
        <v>7.5999999999999998E-2</v>
      </c>
      <c r="E160" s="154">
        <v>0.05</v>
      </c>
      <c r="F160" s="152">
        <v>0.85750000000000004</v>
      </c>
    </row>
    <row r="161" spans="1:6" x14ac:dyDescent="0.25">
      <c r="B161" s="151" t="s">
        <v>220</v>
      </c>
      <c r="C161" s="153">
        <v>6.4999999999999997E-3</v>
      </c>
      <c r="D161" s="154">
        <v>0.03</v>
      </c>
      <c r="E161" s="154">
        <v>0.05</v>
      </c>
      <c r="F161" s="152">
        <v>0.91349999999999998</v>
      </c>
    </row>
    <row r="162" spans="1:6" x14ac:dyDescent="0.25">
      <c r="B162" s="151" t="s">
        <v>221</v>
      </c>
      <c r="C162" s="153">
        <v>4.4000000000000003E-3</v>
      </c>
      <c r="D162" s="153">
        <v>2.35E-2</v>
      </c>
      <c r="E162" s="154">
        <v>0.05</v>
      </c>
      <c r="F162" s="152">
        <v>0.92210000000000003</v>
      </c>
    </row>
    <row r="164" spans="1:6" x14ac:dyDescent="0.25">
      <c r="A164" s="156" t="s">
        <v>224</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4"/>
  <sheetViews>
    <sheetView topLeftCell="A128" zoomScale="70" zoomScaleNormal="70" workbookViewId="0">
      <selection activeCell="H85" sqref="H85"/>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273" t="s">
        <v>3</v>
      </c>
      <c r="B3" s="273"/>
      <c r="C3" s="273"/>
      <c r="D3" s="273"/>
      <c r="E3" s="273"/>
      <c r="F3" s="273"/>
      <c r="G3" s="273"/>
      <c r="H3" s="273"/>
    </row>
    <row r="4" spans="1:8" ht="15.75" x14ac:dyDescent="0.25">
      <c r="A4" s="6" t="s">
        <v>4</v>
      </c>
      <c r="B4" s="7" t="s">
        <v>5</v>
      </c>
      <c r="C4" s="7"/>
      <c r="D4" s="8"/>
      <c r="E4" s="291" t="s">
        <v>6</v>
      </c>
      <c r="F4" s="291"/>
      <c r="G4" s="291"/>
      <c r="H4" s="291"/>
    </row>
    <row r="5" spans="1:8" ht="15.75" x14ac:dyDescent="0.25">
      <c r="A5" s="6" t="s">
        <v>7</v>
      </c>
      <c r="B5" s="7" t="s">
        <v>8</v>
      </c>
      <c r="C5" s="7"/>
      <c r="D5" s="9"/>
      <c r="E5" s="291"/>
      <c r="F5" s="291"/>
      <c r="G5" s="291"/>
      <c r="H5" s="291"/>
    </row>
    <row r="6" spans="1:8" ht="15.75" x14ac:dyDescent="0.25">
      <c r="A6" s="6" t="s">
        <v>9</v>
      </c>
      <c r="B6" s="7" t="s">
        <v>10</v>
      </c>
      <c r="C6" s="7"/>
      <c r="D6" s="10" t="s">
        <v>11</v>
      </c>
      <c r="E6" s="291"/>
      <c r="F6" s="291"/>
      <c r="G6" s="291"/>
      <c r="H6" s="291"/>
    </row>
    <row r="7" spans="1:8" ht="15.75" x14ac:dyDescent="0.25">
      <c r="A7" s="292"/>
      <c r="B7" s="292"/>
      <c r="C7" s="292"/>
      <c r="D7" s="292"/>
      <c r="E7" s="11"/>
      <c r="F7" s="11"/>
      <c r="G7" s="11"/>
      <c r="H7" s="11"/>
    </row>
    <row r="8" spans="1:8" ht="15.75" x14ac:dyDescent="0.25">
      <c r="A8" s="273" t="s">
        <v>12</v>
      </c>
      <c r="B8" s="273"/>
      <c r="C8" s="273"/>
      <c r="D8" s="273"/>
      <c r="E8" s="273"/>
      <c r="F8" s="273"/>
      <c r="G8" s="273"/>
      <c r="H8" s="273"/>
    </row>
    <row r="9" spans="1:8" x14ac:dyDescent="0.25">
      <c r="A9" s="12" t="s">
        <v>4</v>
      </c>
      <c r="B9" s="13" t="s">
        <v>13</v>
      </c>
      <c r="C9" s="13"/>
      <c r="D9" s="285" t="s">
        <v>14</v>
      </c>
      <c r="E9" s="285"/>
      <c r="F9" s="285"/>
      <c r="G9" s="285"/>
      <c r="H9" s="285"/>
    </row>
    <row r="10" spans="1:8" x14ac:dyDescent="0.25">
      <c r="A10" s="12" t="s">
        <v>7</v>
      </c>
      <c r="B10" s="13" t="s">
        <v>15</v>
      </c>
      <c r="C10" s="13"/>
      <c r="D10" s="293" t="s">
        <v>184</v>
      </c>
      <c r="E10" s="293"/>
      <c r="F10" s="293"/>
      <c r="G10" s="293"/>
      <c r="H10" s="293"/>
    </row>
    <row r="11" spans="1:8" x14ac:dyDescent="0.25">
      <c r="A11" s="12" t="s">
        <v>9</v>
      </c>
      <c r="B11" s="13" t="s">
        <v>16</v>
      </c>
      <c r="C11" s="13"/>
      <c r="D11" s="293" t="s">
        <v>174</v>
      </c>
      <c r="E11" s="293"/>
      <c r="F11" s="293"/>
      <c r="G11" s="293"/>
      <c r="H11" s="293"/>
    </row>
    <row r="12" spans="1:8" x14ac:dyDescent="0.25">
      <c r="A12" s="12" t="s">
        <v>17</v>
      </c>
      <c r="B12" s="13" t="s">
        <v>18</v>
      </c>
      <c r="C12" s="13"/>
      <c r="D12" s="293">
        <v>12</v>
      </c>
      <c r="E12" s="293"/>
      <c r="F12" s="293"/>
      <c r="G12" s="293"/>
      <c r="H12" s="293"/>
    </row>
    <row r="13" spans="1:8" x14ac:dyDescent="0.25">
      <c r="A13" s="12"/>
      <c r="B13" s="13"/>
      <c r="C13" s="13"/>
      <c r="D13" s="14"/>
      <c r="E13" s="14"/>
      <c r="F13" s="14"/>
      <c r="G13" s="14"/>
      <c r="H13" s="15"/>
    </row>
    <row r="14" spans="1:8" ht="15.75" x14ac:dyDescent="0.25">
      <c r="A14" s="273" t="s">
        <v>19</v>
      </c>
      <c r="B14" s="273"/>
      <c r="C14" s="273"/>
      <c r="D14" s="273"/>
      <c r="E14" s="273"/>
      <c r="F14" s="273"/>
      <c r="G14" s="273"/>
      <c r="H14" s="273"/>
    </row>
    <row r="15" spans="1:8" ht="15.75" x14ac:dyDescent="0.25">
      <c r="A15" s="12"/>
      <c r="B15" s="16" t="s">
        <v>20</v>
      </c>
      <c r="C15" s="16"/>
      <c r="D15" s="17" t="s">
        <v>21</v>
      </c>
      <c r="E15" s="294" t="s">
        <v>22</v>
      </c>
      <c r="F15" s="294"/>
      <c r="G15" s="294"/>
      <c r="H15" s="294"/>
    </row>
    <row r="16" spans="1:8" x14ac:dyDescent="0.25">
      <c r="A16" s="12" t="s">
        <v>4</v>
      </c>
      <c r="B16" s="18" t="s">
        <v>180</v>
      </c>
      <c r="C16" s="19"/>
      <c r="D16" s="20" t="s">
        <v>23</v>
      </c>
      <c r="E16" s="295">
        <v>1</v>
      </c>
      <c r="F16" s="295"/>
      <c r="G16" s="295"/>
      <c r="H16" s="295"/>
    </row>
    <row r="17" spans="1:9" x14ac:dyDescent="0.25">
      <c r="A17" s="12" t="s">
        <v>7</v>
      </c>
      <c r="B17" s="13"/>
      <c r="C17" s="13"/>
      <c r="D17" s="21"/>
      <c r="E17" s="283"/>
      <c r="F17" s="283"/>
      <c r="G17" s="283"/>
      <c r="H17" s="283"/>
    </row>
    <row r="18" spans="1:9" x14ac:dyDescent="0.25">
      <c r="A18" s="12" t="s">
        <v>9</v>
      </c>
      <c r="B18" s="13"/>
      <c r="C18" s="13"/>
      <c r="D18" s="21"/>
      <c r="E18" s="283"/>
      <c r="F18" s="283"/>
      <c r="G18" s="283"/>
      <c r="H18" s="283"/>
    </row>
    <row r="19" spans="1:9" ht="15.75" x14ac:dyDescent="0.25">
      <c r="A19" s="110"/>
      <c r="B19" s="273" t="s">
        <v>24</v>
      </c>
      <c r="C19" s="273"/>
      <c r="D19" s="273"/>
      <c r="E19" s="273"/>
      <c r="F19" s="273"/>
      <c r="G19" s="273"/>
      <c r="H19" s="273"/>
    </row>
    <row r="20" spans="1:9" ht="15.75" x14ac:dyDescent="0.25">
      <c r="A20" s="284" t="s">
        <v>25</v>
      </c>
      <c r="B20" s="284"/>
      <c r="C20" s="284"/>
      <c r="D20" s="284"/>
      <c r="E20" s="284"/>
      <c r="F20" s="284"/>
      <c r="G20" s="284"/>
      <c r="H20" s="284"/>
    </row>
    <row r="21" spans="1:9" x14ac:dyDescent="0.25">
      <c r="A21" s="12">
        <v>1</v>
      </c>
      <c r="B21" s="13" t="s">
        <v>20</v>
      </c>
      <c r="C21" s="13"/>
      <c r="D21" s="285" t="s">
        <v>183</v>
      </c>
      <c r="E21" s="285"/>
      <c r="F21" s="285"/>
      <c r="G21" s="285"/>
      <c r="H21" s="285"/>
    </row>
    <row r="22" spans="1:9" x14ac:dyDescent="0.25">
      <c r="A22" s="12">
        <v>2</v>
      </c>
      <c r="B22" s="13" t="s">
        <v>26</v>
      </c>
      <c r="C22" s="13"/>
      <c r="D22" s="286" t="s">
        <v>176</v>
      </c>
      <c r="E22" s="286"/>
      <c r="F22" s="286"/>
      <c r="G22" s="286"/>
      <c r="H22" s="286"/>
    </row>
    <row r="23" spans="1:9" x14ac:dyDescent="0.25">
      <c r="A23" s="12">
        <v>3</v>
      </c>
      <c r="B23" s="13" t="s">
        <v>27</v>
      </c>
      <c r="C23" s="13"/>
      <c r="D23" s="22">
        <v>1134.1099999999999</v>
      </c>
      <c r="E23" s="23"/>
      <c r="F23" s="23"/>
      <c r="G23" s="23"/>
      <c r="H23" s="23"/>
    </row>
    <row r="24" spans="1:9" ht="30" x14ac:dyDescent="0.25">
      <c r="A24" s="1">
        <v>4</v>
      </c>
      <c r="B24" s="24" t="s">
        <v>28</v>
      </c>
      <c r="C24" s="24"/>
      <c r="D24" s="287" t="s">
        <v>170</v>
      </c>
      <c r="E24" s="287"/>
      <c r="F24" s="287"/>
      <c r="G24" s="287"/>
      <c r="H24" s="287"/>
    </row>
    <row r="25" spans="1:9" x14ac:dyDescent="0.25">
      <c r="A25" s="1">
        <v>5</v>
      </c>
      <c r="B25" s="25" t="s">
        <v>29</v>
      </c>
      <c r="C25" s="25"/>
      <c r="D25" s="288" t="s">
        <v>171</v>
      </c>
      <c r="E25" s="288"/>
      <c r="F25" s="288"/>
      <c r="G25" s="288"/>
      <c r="H25" s="288"/>
    </row>
    <row r="26" spans="1:9" ht="15.75" x14ac:dyDescent="0.25">
      <c r="A26" s="26">
        <v>1</v>
      </c>
      <c r="B26" s="271" t="s">
        <v>30</v>
      </c>
      <c r="C26" s="271"/>
      <c r="D26" s="271"/>
      <c r="E26" s="271"/>
      <c r="F26" s="271"/>
      <c r="G26" s="271"/>
      <c r="H26" s="271"/>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289" t="s">
        <v>46</v>
      </c>
      <c r="C39" s="289"/>
      <c r="D39" s="289"/>
      <c r="E39" s="289"/>
      <c r="F39" s="289"/>
      <c r="G39" s="289"/>
      <c r="H39" s="289"/>
    </row>
    <row r="40" spans="1:9" ht="15.75" x14ac:dyDescent="0.25">
      <c r="A40" s="124" t="s">
        <v>47</v>
      </c>
      <c r="B40" s="290" t="s">
        <v>48</v>
      </c>
      <c r="C40" s="290"/>
      <c r="D40" s="290"/>
      <c r="E40" s="290"/>
      <c r="F40" s="290"/>
      <c r="G40" s="290"/>
      <c r="H40" s="290"/>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273" t="s">
        <v>53</v>
      </c>
      <c r="C45" s="273"/>
      <c r="D45" s="273"/>
      <c r="E45" s="273"/>
      <c r="F45" s="273"/>
      <c r="G45" s="273"/>
      <c r="H45" s="273"/>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282" t="s">
        <v>56</v>
      </c>
      <c r="E47" s="282"/>
      <c r="F47" s="28"/>
      <c r="G47" s="52">
        <v>1.4999999999999999E-2</v>
      </c>
      <c r="H47" s="28">
        <f t="shared" ref="H47:H53" si="0">SUM($H$38*G47)</f>
        <v>17.011649999999999</v>
      </c>
      <c r="I47" s="115"/>
    </row>
    <row r="48" spans="1:9" ht="15.75" x14ac:dyDescent="0.25">
      <c r="A48" s="1" t="s">
        <v>9</v>
      </c>
      <c r="B48" s="51" t="s">
        <v>57</v>
      </c>
      <c r="C48" s="51"/>
      <c r="D48" s="282"/>
      <c r="E48" s="282"/>
      <c r="F48" s="28"/>
      <c r="G48" s="52">
        <v>0.01</v>
      </c>
      <c r="H48" s="28">
        <f t="shared" si="0"/>
        <v>11.341099999999999</v>
      </c>
    </row>
    <row r="49" spans="1:13" ht="15.75" x14ac:dyDescent="0.25">
      <c r="A49" s="1" t="s">
        <v>17</v>
      </c>
      <c r="B49" s="51" t="s">
        <v>58</v>
      </c>
      <c r="C49" s="51"/>
      <c r="D49" s="27"/>
      <c r="E49" s="27"/>
      <c r="F49" s="28"/>
      <c r="G49" s="52">
        <v>2E-3</v>
      </c>
      <c r="H49" s="28">
        <f t="shared" si="0"/>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 t="shared" si="0"/>
        <v>90.728799999999993</v>
      </c>
    </row>
    <row r="52" spans="1:13" ht="15.75" x14ac:dyDescent="0.25">
      <c r="A52" s="127" t="s">
        <v>61</v>
      </c>
      <c r="B52" s="128" t="s">
        <v>62</v>
      </c>
      <c r="C52" s="128"/>
      <c r="D52" s="129"/>
      <c r="E52" s="129"/>
      <c r="F52" s="129"/>
      <c r="G52" s="130">
        <v>0.03</v>
      </c>
      <c r="H52" s="131">
        <f t="shared" si="0"/>
        <v>34.023299999999999</v>
      </c>
    </row>
    <row r="53" spans="1:13" ht="15.75" x14ac:dyDescent="0.25">
      <c r="A53" s="1" t="s">
        <v>43</v>
      </c>
      <c r="B53" s="51" t="s">
        <v>63</v>
      </c>
      <c r="C53" s="51"/>
      <c r="D53" s="27"/>
      <c r="E53" s="27"/>
      <c r="F53" s="28"/>
      <c r="G53" s="52">
        <v>6.0000000000000001E-3</v>
      </c>
      <c r="H53" s="28">
        <f t="shared" si="0"/>
        <v>6.8046599999999993</v>
      </c>
      <c r="I53" s="121">
        <f>H54+H43</f>
        <v>502.61759166400003</v>
      </c>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273" t="s">
        <v>65</v>
      </c>
      <c r="C55" s="273"/>
      <c r="D55" s="273"/>
      <c r="E55" s="273"/>
      <c r="F55" s="273"/>
      <c r="G55" s="273"/>
      <c r="H55" s="273"/>
    </row>
    <row r="56" spans="1:13" ht="15.75" x14ac:dyDescent="0.25">
      <c r="A56" s="6" t="s">
        <v>66</v>
      </c>
      <c r="B56" s="59"/>
      <c r="C56" s="59"/>
      <c r="D56" s="60" t="s">
        <v>67</v>
      </c>
      <c r="E56" s="60" t="s">
        <v>68</v>
      </c>
      <c r="F56" s="60" t="s">
        <v>69</v>
      </c>
      <c r="G56" s="60" t="s">
        <v>70</v>
      </c>
      <c r="H56" s="6"/>
    </row>
    <row r="57" spans="1:13" ht="15.75" x14ac:dyDescent="0.25">
      <c r="A57" s="274" t="s">
        <v>4</v>
      </c>
      <c r="B57" s="6" t="s">
        <v>71</v>
      </c>
      <c r="C57" s="6"/>
      <c r="D57" s="275"/>
      <c r="E57" s="276"/>
      <c r="F57" s="277"/>
      <c r="G57" s="278"/>
      <c r="H57" s="35">
        <f>F57*E57*D57</f>
        <v>0</v>
      </c>
    </row>
    <row r="58" spans="1:13" ht="15.75" x14ac:dyDescent="0.25">
      <c r="A58" s="274"/>
      <c r="B58" s="6" t="s">
        <v>72</v>
      </c>
      <c r="C58" s="6"/>
      <c r="D58" s="275"/>
      <c r="E58" s="275"/>
      <c r="F58" s="275"/>
      <c r="G58" s="275"/>
      <c r="H58" s="35">
        <f>H27*G57</f>
        <v>0</v>
      </c>
    </row>
    <row r="59" spans="1:13" ht="15.75" x14ac:dyDescent="0.25">
      <c r="A59" s="274"/>
      <c r="B59" s="8" t="s">
        <v>73</v>
      </c>
      <c r="C59" s="8"/>
      <c r="D59" s="8"/>
      <c r="E59" s="27"/>
      <c r="F59" s="27"/>
      <c r="G59" s="61"/>
      <c r="H59" s="35">
        <f>H57-H58</f>
        <v>0</v>
      </c>
    </row>
    <row r="60" spans="1:13" ht="15.75" x14ac:dyDescent="0.25">
      <c r="A60" s="274" t="s">
        <v>7</v>
      </c>
      <c r="B60" s="6" t="s">
        <v>74</v>
      </c>
      <c r="C60" s="6"/>
      <c r="D60" s="275">
        <v>1</v>
      </c>
      <c r="E60" s="276">
        <v>1</v>
      </c>
      <c r="F60" s="277">
        <v>0</v>
      </c>
      <c r="G60" s="278">
        <v>0.2</v>
      </c>
      <c r="H60" s="35">
        <f>F60*E60*D60</f>
        <v>0</v>
      </c>
    </row>
    <row r="61" spans="1:13" ht="15.75" x14ac:dyDescent="0.25">
      <c r="A61" s="274"/>
      <c r="B61" s="6" t="s">
        <v>72</v>
      </c>
      <c r="C61" s="6"/>
      <c r="D61" s="275"/>
      <c r="E61" s="275"/>
      <c r="F61" s="275"/>
      <c r="G61" s="275"/>
      <c r="H61" s="35">
        <f>H60*G60</f>
        <v>0</v>
      </c>
    </row>
    <row r="62" spans="1:13" ht="15.75" x14ac:dyDescent="0.25">
      <c r="A62" s="274"/>
      <c r="B62" s="279" t="s">
        <v>75</v>
      </c>
      <c r="C62" s="279"/>
      <c r="D62" s="279"/>
      <c r="E62" s="279"/>
      <c r="F62" s="13"/>
      <c r="G62" s="13"/>
      <c r="H62" s="35">
        <f>H60-H61</f>
        <v>0</v>
      </c>
    </row>
    <row r="63" spans="1:13" ht="15.75" x14ac:dyDescent="0.25">
      <c r="A63" s="62" t="s">
        <v>9</v>
      </c>
      <c r="B63" s="279" t="s">
        <v>76</v>
      </c>
      <c r="C63" s="279"/>
      <c r="D63" s="279"/>
      <c r="E63" s="279"/>
      <c r="F63" s="13"/>
      <c r="G63" s="13"/>
      <c r="H63" s="35">
        <v>0</v>
      </c>
    </row>
    <row r="64" spans="1:13" ht="15.75" x14ac:dyDescent="0.25">
      <c r="A64" s="62" t="s">
        <v>17</v>
      </c>
      <c r="B64" s="117" t="s">
        <v>177</v>
      </c>
      <c r="C64" s="117"/>
      <c r="D64" s="117"/>
      <c r="E64" s="117" t="s">
        <v>163</v>
      </c>
      <c r="F64" s="13"/>
      <c r="G64" s="13"/>
      <c r="H64" s="35">
        <v>100</v>
      </c>
      <c r="J64" s="125"/>
      <c r="K64" s="13"/>
      <c r="L64" s="13"/>
      <c r="M64" s="35">
        <v>0</v>
      </c>
    </row>
    <row r="65" spans="1:13" ht="15.75" x14ac:dyDescent="0.25">
      <c r="A65" s="62" t="s">
        <v>40</v>
      </c>
      <c r="B65" s="116" t="s">
        <v>223</v>
      </c>
      <c r="C65" s="117"/>
      <c r="D65" s="117"/>
      <c r="E65" s="117"/>
      <c r="F65" s="13"/>
      <c r="G65" s="13"/>
      <c r="H65" s="35">
        <v>3.53</v>
      </c>
      <c r="J65" s="149"/>
      <c r="K65" s="13"/>
      <c r="L65" s="13"/>
      <c r="M65" s="35"/>
    </row>
    <row r="66" spans="1:13" ht="15.75" x14ac:dyDescent="0.25">
      <c r="A66" s="62" t="s">
        <v>42</v>
      </c>
      <c r="B66" s="116" t="s">
        <v>78</v>
      </c>
      <c r="C66" s="116"/>
      <c r="D66" s="116"/>
      <c r="E66" s="118">
        <v>0</v>
      </c>
      <c r="H66" s="35">
        <f>(1/12*(H27+H28+H30))*E66</f>
        <v>0</v>
      </c>
    </row>
    <row r="67" spans="1:13" ht="15.75" x14ac:dyDescent="0.25">
      <c r="A67" s="63"/>
      <c r="B67" s="280" t="s">
        <v>45</v>
      </c>
      <c r="C67" s="280"/>
      <c r="D67" s="280"/>
      <c r="E67" s="280"/>
      <c r="F67" s="64"/>
      <c r="G67" s="64"/>
      <c r="H67" s="65">
        <f>H59+H62+H63+H64+H65+H66</f>
        <v>103.53</v>
      </c>
    </row>
    <row r="68" spans="1:13" ht="15.75" x14ac:dyDescent="0.25">
      <c r="A68" s="273" t="s">
        <v>79</v>
      </c>
      <c r="B68" s="273"/>
      <c r="C68" s="273"/>
      <c r="D68" s="273"/>
      <c r="E68" s="273"/>
      <c r="F68" s="273"/>
      <c r="G68" s="273"/>
      <c r="H68" s="273"/>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103.53</v>
      </c>
    </row>
    <row r="72" spans="1:13" ht="15.75" x14ac:dyDescent="0.25">
      <c r="A72" s="63"/>
      <c r="B72" s="126" t="s">
        <v>45</v>
      </c>
      <c r="C72" s="126"/>
      <c r="D72" s="126"/>
      <c r="E72" s="126"/>
      <c r="F72" s="64"/>
      <c r="G72" s="64"/>
      <c r="H72" s="65">
        <f>SUM(H69:H71)</f>
        <v>837.84626466400005</v>
      </c>
    </row>
    <row r="73" spans="1:13" ht="15.75" x14ac:dyDescent="0.25">
      <c r="A73" s="68">
        <v>3</v>
      </c>
      <c r="B73" s="271" t="s">
        <v>83</v>
      </c>
      <c r="C73" s="271"/>
      <c r="D73" s="271"/>
      <c r="E73" s="271"/>
      <c r="F73" s="271"/>
      <c r="G73" s="271"/>
      <c r="H73" s="271"/>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2.0000000000000001E-4</v>
      </c>
      <c r="H76" s="72">
        <f>(ROUND(SUM($H$38*G76),2))</f>
        <v>0.23</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225</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1E-4</v>
      </c>
      <c r="H79" s="28">
        <f>SUM($H$38*G79)</f>
        <v>0.113411</v>
      </c>
    </row>
    <row r="80" spans="1:13" ht="15.75" x14ac:dyDescent="0.25">
      <c r="A80" s="73"/>
      <c r="B80" s="55" t="s">
        <v>45</v>
      </c>
      <c r="C80" s="55"/>
      <c r="D80" s="41"/>
      <c r="E80" s="41"/>
      <c r="F80" s="74"/>
      <c r="G80" s="57">
        <f>SUM(G74:G79)</f>
        <v>3.1375200000000006E-2</v>
      </c>
      <c r="H80" s="58">
        <f>SUM(H74:H79)</f>
        <v>35.586106072</v>
      </c>
    </row>
    <row r="81" spans="1:9" ht="15.75" x14ac:dyDescent="0.25">
      <c r="A81" s="44">
        <v>4</v>
      </c>
      <c r="B81" s="281" t="s">
        <v>90</v>
      </c>
      <c r="C81" s="281"/>
      <c r="D81" s="281"/>
      <c r="E81" s="281"/>
      <c r="F81" s="281"/>
      <c r="G81" s="281"/>
      <c r="H81" s="281"/>
    </row>
    <row r="82" spans="1:9" ht="15.75" x14ac:dyDescent="0.25">
      <c r="A82" s="75" t="s">
        <v>91</v>
      </c>
      <c r="B82" s="273" t="s">
        <v>236</v>
      </c>
      <c r="C82" s="273"/>
      <c r="D82" s="273"/>
      <c r="E82" s="273"/>
      <c r="F82" s="273"/>
      <c r="G82" s="273"/>
      <c r="H82" s="273"/>
    </row>
    <row r="83" spans="1:9" ht="15.75" x14ac:dyDescent="0.25">
      <c r="A83" s="12" t="s">
        <v>4</v>
      </c>
      <c r="B83" s="51" t="s">
        <v>226</v>
      </c>
      <c r="C83" s="51"/>
      <c r="D83" s="53"/>
      <c r="E83" s="53"/>
      <c r="F83" s="53"/>
      <c r="G83" s="45">
        <f>(G41+G42)/12</f>
        <v>1.7024999999999998E-2</v>
      </c>
      <c r="H83" s="28"/>
    </row>
    <row r="84" spans="1:9" ht="15.75" x14ac:dyDescent="0.25">
      <c r="A84" s="123" t="s">
        <v>7</v>
      </c>
      <c r="B84" s="51" t="s">
        <v>227</v>
      </c>
      <c r="C84" s="272" t="s">
        <v>95</v>
      </c>
      <c r="D84" s="76">
        <v>1</v>
      </c>
      <c r="E84" s="272" t="s">
        <v>96</v>
      </c>
      <c r="F84" s="77">
        <v>1</v>
      </c>
      <c r="G84" s="45">
        <f t="shared" ref="G84:G89" si="1">D84/360*F84</f>
        <v>2.7777777777777779E-3</v>
      </c>
      <c r="H84" s="28">
        <f t="shared" ref="H84:H88" si="2">SUM(H$38*G84)</f>
        <v>3.1503055555555552</v>
      </c>
    </row>
    <row r="85" spans="1:9" ht="15.75" x14ac:dyDescent="0.25">
      <c r="A85" s="12" t="s">
        <v>9</v>
      </c>
      <c r="B85" s="51" t="s">
        <v>228</v>
      </c>
      <c r="C85" s="272"/>
      <c r="D85" s="76">
        <v>20</v>
      </c>
      <c r="E85" s="272"/>
      <c r="F85" s="77">
        <v>1.4999999999999999E-2</v>
      </c>
      <c r="G85" s="45">
        <f t="shared" si="1"/>
        <v>8.3333333333333328E-4</v>
      </c>
      <c r="H85" s="28">
        <f t="shared" si="2"/>
        <v>0.94509166666666655</v>
      </c>
    </row>
    <row r="86" spans="1:9" ht="15.75" x14ac:dyDescent="0.25">
      <c r="A86" s="12" t="s">
        <v>17</v>
      </c>
      <c r="B86" s="51" t="s">
        <v>229</v>
      </c>
      <c r="C86" s="272"/>
      <c r="D86" s="76">
        <v>15</v>
      </c>
      <c r="E86" s="272"/>
      <c r="F86" s="78">
        <v>1.3299999999999999E-2</v>
      </c>
      <c r="G86" s="45">
        <f t="shared" si="1"/>
        <v>5.5416666666666657E-4</v>
      </c>
      <c r="H86" s="28">
        <f t="shared" si="2"/>
        <v>0.62848595833333321</v>
      </c>
    </row>
    <row r="87" spans="1:9" ht="15.75" x14ac:dyDescent="0.25">
      <c r="A87" s="12" t="s">
        <v>40</v>
      </c>
      <c r="B87" s="51" t="s">
        <v>230</v>
      </c>
      <c r="C87" s="272"/>
      <c r="D87" s="76">
        <v>180</v>
      </c>
      <c r="E87" s="272"/>
      <c r="F87" s="77">
        <v>1.8599999999999998E-2</v>
      </c>
      <c r="G87" s="45">
        <f t="shared" si="1"/>
        <v>9.2999999999999992E-3</v>
      </c>
      <c r="H87" s="28">
        <f t="shared" si="2"/>
        <v>10.547222999999999</v>
      </c>
    </row>
    <row r="88" spans="1:9" ht="15.75" x14ac:dyDescent="0.25">
      <c r="A88" s="12" t="s">
        <v>42</v>
      </c>
      <c r="B88" s="51" t="s">
        <v>231</v>
      </c>
      <c r="C88" s="272"/>
      <c r="D88" s="79">
        <v>5</v>
      </c>
      <c r="E88" s="272"/>
      <c r="F88" s="80">
        <v>1</v>
      </c>
      <c r="G88" s="45">
        <f t="shared" si="1"/>
        <v>1.3888888888888888E-2</v>
      </c>
      <c r="H88" s="81">
        <f t="shared" si="2"/>
        <v>15.751527777777776</v>
      </c>
    </row>
    <row r="89" spans="1:9" ht="15.75" x14ac:dyDescent="0.25">
      <c r="A89" s="12" t="s">
        <v>61</v>
      </c>
      <c r="B89" s="51" t="s">
        <v>101</v>
      </c>
      <c r="C89" s="272"/>
      <c r="D89" s="79"/>
      <c r="E89" s="272"/>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273" t="s">
        <v>232</v>
      </c>
      <c r="C93" s="273"/>
      <c r="D93" s="273"/>
      <c r="E93" s="273"/>
      <c r="F93" s="273"/>
      <c r="G93" s="273"/>
      <c r="H93" s="273"/>
    </row>
    <row r="94" spans="1:9" ht="15.75" x14ac:dyDescent="0.25">
      <c r="A94" s="12" t="s">
        <v>4</v>
      </c>
      <c r="B94" s="51" t="s">
        <v>234</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273" t="s">
        <v>108</v>
      </c>
      <c r="B97" s="273"/>
      <c r="C97" s="273"/>
      <c r="D97" s="273"/>
      <c r="E97" s="273"/>
      <c r="F97" s="273"/>
      <c r="G97" s="273"/>
      <c r="H97" s="273"/>
    </row>
    <row r="98" spans="1:10" ht="15.75" x14ac:dyDescent="0.25">
      <c r="A98" s="12" t="s">
        <v>91</v>
      </c>
      <c r="B98" s="51" t="s">
        <v>235</v>
      </c>
      <c r="C98" s="51"/>
      <c r="D98" s="53"/>
      <c r="E98" s="53"/>
      <c r="F98" s="53"/>
      <c r="G98" s="45">
        <f>G92</f>
        <v>6.0710699999999999E-2</v>
      </c>
      <c r="H98" s="28">
        <f>H92</f>
        <v>42.438963254999997</v>
      </c>
    </row>
    <row r="99" spans="1:10" ht="15.75" x14ac:dyDescent="0.25">
      <c r="A99" s="12" t="s">
        <v>104</v>
      </c>
      <c r="B99" s="51" t="s">
        <v>233</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273" t="s">
        <v>110</v>
      </c>
      <c r="C101" s="273"/>
      <c r="D101" s="273"/>
      <c r="E101" s="273"/>
      <c r="F101" s="273"/>
      <c r="G101" s="273"/>
      <c r="H101" s="273"/>
    </row>
    <row r="102" spans="1:10" ht="15.75" x14ac:dyDescent="0.25">
      <c r="A102" s="12" t="s">
        <v>4</v>
      </c>
      <c r="B102" s="13" t="s">
        <v>111</v>
      </c>
      <c r="C102" s="13"/>
      <c r="D102" s="84"/>
      <c r="E102" s="27"/>
      <c r="F102" s="85"/>
      <c r="G102" s="85"/>
      <c r="H102" s="85">
        <v>36.590000000000003</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5.21</v>
      </c>
    </row>
    <row r="105" spans="1:10" ht="15.75" x14ac:dyDescent="0.25">
      <c r="A105" s="12" t="s">
        <v>17</v>
      </c>
      <c r="B105" s="13" t="s">
        <v>164</v>
      </c>
      <c r="C105" s="13"/>
      <c r="D105" s="84"/>
      <c r="E105" s="27"/>
      <c r="F105" s="85"/>
      <c r="G105" s="85"/>
      <c r="H105" s="85">
        <v>15.14</v>
      </c>
    </row>
    <row r="106" spans="1:10" ht="15.75" x14ac:dyDescent="0.25">
      <c r="A106" s="12" t="s">
        <v>40</v>
      </c>
      <c r="B106" s="13" t="s">
        <v>101</v>
      </c>
      <c r="C106" s="13"/>
      <c r="D106" s="84"/>
      <c r="E106" s="27"/>
      <c r="F106" s="85"/>
      <c r="G106" s="85"/>
      <c r="H106" s="85" t="s">
        <v>238</v>
      </c>
    </row>
    <row r="107" spans="1:10" ht="15.75" x14ac:dyDescent="0.25">
      <c r="A107" s="73"/>
      <c r="B107" s="55" t="s">
        <v>45</v>
      </c>
      <c r="C107" s="55"/>
      <c r="D107" s="41"/>
      <c r="E107" s="41"/>
      <c r="F107" s="74"/>
      <c r="G107" s="57"/>
      <c r="H107" s="58">
        <f>SUM(H102:H106)</f>
        <v>56.940000000000005</v>
      </c>
    </row>
    <row r="108" spans="1:10" ht="15.75" x14ac:dyDescent="0.25">
      <c r="A108" s="83">
        <v>6</v>
      </c>
      <c r="B108" s="273" t="s">
        <v>114</v>
      </c>
      <c r="C108" s="273"/>
      <c r="D108" s="273"/>
      <c r="E108" s="273"/>
      <c r="F108" s="273"/>
      <c r="G108" s="273"/>
      <c r="H108" s="273"/>
    </row>
    <row r="109" spans="1:10" ht="15.75" x14ac:dyDescent="0.25">
      <c r="A109" s="86" t="s">
        <v>4</v>
      </c>
      <c r="B109" s="27"/>
      <c r="C109" s="27"/>
      <c r="D109" s="27"/>
      <c r="E109" s="27"/>
      <c r="F109" s="27" t="s">
        <v>115</v>
      </c>
      <c r="G109" s="52">
        <v>0.01</v>
      </c>
      <c r="H109" s="28">
        <f>G109*H124</f>
        <v>21.069213339909997</v>
      </c>
    </row>
    <row r="110" spans="1:10" ht="15.75" x14ac:dyDescent="0.25">
      <c r="A110" s="86" t="s">
        <v>7</v>
      </c>
      <c r="B110" s="27"/>
      <c r="C110" s="27"/>
      <c r="D110" s="27"/>
      <c r="E110" s="27"/>
      <c r="F110" s="12" t="s">
        <v>116</v>
      </c>
      <c r="G110" s="52">
        <v>0.01</v>
      </c>
      <c r="H110" s="28">
        <f>SUM(H109+H124)*$G$110</f>
        <v>21.2799054733091</v>
      </c>
    </row>
    <row r="111" spans="1:10" ht="15.75" x14ac:dyDescent="0.25">
      <c r="A111" s="86" t="s">
        <v>9</v>
      </c>
      <c r="B111" s="27"/>
      <c r="C111" s="27"/>
      <c r="D111" s="27"/>
      <c r="E111" s="27"/>
      <c r="F111" s="12" t="s">
        <v>117</v>
      </c>
      <c r="G111" s="87">
        <f>SUM(G112:G116)</f>
        <v>8.6499999999999994E-2</v>
      </c>
      <c r="H111" s="28">
        <f>H113+H114+H116</f>
        <v>203.51603083477278</v>
      </c>
    </row>
    <row r="112" spans="1:10" ht="15.75" x14ac:dyDescent="0.25">
      <c r="A112" s="86" t="s">
        <v>118</v>
      </c>
      <c r="B112" s="27"/>
      <c r="C112" s="27"/>
      <c r="D112" s="27"/>
      <c r="E112" s="27"/>
      <c r="F112" s="88" t="s">
        <v>119</v>
      </c>
      <c r="G112" s="45">
        <v>0</v>
      </c>
      <c r="H112" s="28"/>
      <c r="J112" s="120"/>
    </row>
    <row r="113" spans="1:9" ht="15.75" x14ac:dyDescent="0.25">
      <c r="A113" s="86" t="s">
        <v>120</v>
      </c>
      <c r="B113" s="27"/>
      <c r="C113" s="27"/>
      <c r="D113" s="27"/>
      <c r="E113" s="27"/>
      <c r="F113" s="88" t="s">
        <v>121</v>
      </c>
      <c r="G113" s="52">
        <v>6.4999999999999997E-3</v>
      </c>
      <c r="H113" s="28">
        <f>((H109+H110+H124)/0.9135)*G113</f>
        <v>15.293112143653442</v>
      </c>
    </row>
    <row r="114" spans="1:9" ht="15.75" x14ac:dyDescent="0.25">
      <c r="A114" s="86" t="s">
        <v>122</v>
      </c>
      <c r="B114" s="27"/>
      <c r="C114" s="27"/>
      <c r="D114" s="27"/>
      <c r="E114" s="27"/>
      <c r="F114" s="88" t="s">
        <v>123</v>
      </c>
      <c r="G114" s="52">
        <v>0.03</v>
      </c>
      <c r="H114" s="28">
        <f>((H109+H110+H124)/0.9135)*G114</f>
        <v>70.583594509169743</v>
      </c>
    </row>
    <row r="115" spans="1:9" ht="15.75" x14ac:dyDescent="0.25">
      <c r="A115" s="86" t="s">
        <v>124</v>
      </c>
      <c r="B115" s="27"/>
      <c r="C115" s="27"/>
      <c r="D115" s="27"/>
      <c r="E115" s="27"/>
      <c r="F115" s="88" t="s">
        <v>125</v>
      </c>
      <c r="G115" s="45">
        <v>0</v>
      </c>
      <c r="H115" s="28"/>
    </row>
    <row r="116" spans="1:9" ht="15.75" x14ac:dyDescent="0.25">
      <c r="A116" s="86" t="s">
        <v>126</v>
      </c>
      <c r="B116" s="27"/>
      <c r="C116" s="27"/>
      <c r="D116" s="27"/>
      <c r="E116" s="27"/>
      <c r="F116" s="88" t="s">
        <v>127</v>
      </c>
      <c r="G116" s="45">
        <v>0.05</v>
      </c>
      <c r="H116" s="28">
        <f>((H109+H110+H124)/0.9135)*G116</f>
        <v>117.63932418194958</v>
      </c>
    </row>
    <row r="117" spans="1:9" ht="15.75" x14ac:dyDescent="0.25">
      <c r="A117" s="73"/>
      <c r="B117" s="55" t="s">
        <v>45</v>
      </c>
      <c r="C117" s="55"/>
      <c r="D117" s="41"/>
      <c r="E117" s="41"/>
      <c r="F117" s="74"/>
      <c r="G117" s="57">
        <f>G111+G110+G109</f>
        <v>0.10649999999999998</v>
      </c>
      <c r="H117" s="58">
        <f>H109+H110+H111</f>
        <v>245.86514964799187</v>
      </c>
    </row>
    <row r="118" spans="1:9" ht="15.75" x14ac:dyDescent="0.25">
      <c r="A118" s="89"/>
      <c r="B118" s="271" t="s">
        <v>128</v>
      </c>
      <c r="C118" s="271"/>
      <c r="D118" s="271"/>
      <c r="E118" s="271"/>
      <c r="F118" s="271"/>
      <c r="G118" s="271"/>
      <c r="H118" s="271"/>
    </row>
    <row r="119" spans="1:9" ht="15.75" x14ac:dyDescent="0.25">
      <c r="A119" s="90" t="s">
        <v>4</v>
      </c>
      <c r="B119" s="27" t="s">
        <v>30</v>
      </c>
      <c r="C119" s="27"/>
      <c r="D119" s="27"/>
      <c r="E119" s="27"/>
      <c r="F119" s="28"/>
      <c r="G119" s="45">
        <f>SUM(H119/H$126)</f>
        <v>0.48202844069637052</v>
      </c>
      <c r="H119" s="28">
        <f>H38</f>
        <v>1134.1099999999999</v>
      </c>
    </row>
    <row r="120" spans="1:9" ht="15.75" x14ac:dyDescent="0.25">
      <c r="A120" s="90" t="s">
        <v>7</v>
      </c>
      <c r="B120" s="27" t="s">
        <v>129</v>
      </c>
      <c r="C120" s="27"/>
      <c r="D120" s="27"/>
      <c r="E120" s="27"/>
      <c r="F120" s="28"/>
      <c r="G120" s="45">
        <f>SUM(H120/H$126)</f>
        <v>0.35610807461292693</v>
      </c>
      <c r="H120" s="28">
        <f>H72</f>
        <v>837.84626466400005</v>
      </c>
    </row>
    <row r="121" spans="1:9" ht="15.75" x14ac:dyDescent="0.25">
      <c r="A121" s="90" t="s">
        <v>9</v>
      </c>
      <c r="B121" s="27" t="s">
        <v>130</v>
      </c>
      <c r="C121" s="27"/>
      <c r="D121" s="27"/>
      <c r="E121" s="27"/>
      <c r="F121" s="28"/>
      <c r="G121" s="45">
        <f>SUM(H121/H$126)</f>
        <v>1.512508947134035E-2</v>
      </c>
      <c r="H121" s="28">
        <f>H80</f>
        <v>35.586106072</v>
      </c>
    </row>
    <row r="122" spans="1:9" ht="15.75" x14ac:dyDescent="0.25">
      <c r="A122" s="90" t="s">
        <v>17</v>
      </c>
      <c r="B122" s="27" t="s">
        <v>131</v>
      </c>
      <c r="C122" s="27"/>
      <c r="D122" s="27"/>
      <c r="E122" s="27"/>
      <c r="F122" s="28"/>
      <c r="G122" s="45">
        <f>SUM(H122/H$126)</f>
        <v>1.8037745265078533E-2</v>
      </c>
      <c r="H122" s="28">
        <f>H100</f>
        <v>42.438963254999997</v>
      </c>
    </row>
    <row r="123" spans="1:9" ht="15.75" x14ac:dyDescent="0.25">
      <c r="A123" s="90" t="s">
        <v>40</v>
      </c>
      <c r="B123" s="27" t="s">
        <v>110</v>
      </c>
      <c r="C123" s="27"/>
      <c r="D123" s="27"/>
      <c r="E123" s="27"/>
      <c r="F123" s="28"/>
      <c r="G123" s="45">
        <f>H123/H126</f>
        <v>2.4201091087505924E-2</v>
      </c>
      <c r="H123" s="28">
        <f>H107</f>
        <v>56.940000000000005</v>
      </c>
      <c r="I123" s="115">
        <f>H124+H109+H110</f>
        <v>2149.2704528042191</v>
      </c>
    </row>
    <row r="124" spans="1:9" ht="15.75" x14ac:dyDescent="0.25">
      <c r="A124" s="90"/>
      <c r="B124" s="27" t="s">
        <v>132</v>
      </c>
      <c r="C124" s="27"/>
      <c r="D124" s="27"/>
      <c r="E124" s="27"/>
      <c r="F124" s="28"/>
      <c r="G124" s="45">
        <f>SUM(G119:G123)</f>
        <v>0.89550044113322225</v>
      </c>
      <c r="H124" s="28">
        <f>SUM(H119:H123)</f>
        <v>2106.9213339909998</v>
      </c>
      <c r="I124" s="115">
        <f>I123/0.9135</f>
        <v>2352.7864836389917</v>
      </c>
    </row>
    <row r="125" spans="1:9" ht="15.75" x14ac:dyDescent="0.25">
      <c r="A125" s="90" t="s">
        <v>40</v>
      </c>
      <c r="B125" s="27" t="s">
        <v>133</v>
      </c>
      <c r="C125" s="27"/>
      <c r="D125" s="27"/>
      <c r="E125" s="27"/>
      <c r="F125" s="28"/>
      <c r="G125" s="45">
        <f>SUM(H125/H$126)</f>
        <v>0.10449955886677777</v>
      </c>
      <c r="H125" s="28">
        <f>H117</f>
        <v>245.86514964799187</v>
      </c>
    </row>
    <row r="126" spans="1:9" ht="15.75" x14ac:dyDescent="0.25">
      <c r="A126" s="55"/>
      <c r="B126" s="55" t="s">
        <v>134</v>
      </c>
      <c r="C126" s="55"/>
      <c r="D126" s="55"/>
      <c r="E126" s="55"/>
      <c r="F126" s="55"/>
      <c r="G126" s="55">
        <f>SUM(G124+G125)</f>
        <v>1</v>
      </c>
      <c r="H126" s="91">
        <f>H125+H124</f>
        <v>2352.7864836389917</v>
      </c>
    </row>
    <row r="127" spans="1:9" ht="15.75" x14ac:dyDescent="0.25">
      <c r="A127" s="92"/>
      <c r="B127" s="271" t="s">
        <v>135</v>
      </c>
      <c r="C127" s="271"/>
      <c r="D127" s="271"/>
      <c r="E127" s="271"/>
      <c r="F127" s="271"/>
      <c r="G127" s="271"/>
      <c r="H127" s="271"/>
    </row>
    <row r="128" spans="1:9"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2352.7864836389917</v>
      </c>
      <c r="E130" s="100">
        <v>1</v>
      </c>
      <c r="F130" s="99">
        <f>D130*E130</f>
        <v>2352.7864836389917</v>
      </c>
      <c r="G130" s="101">
        <v>1</v>
      </c>
      <c r="H130" s="28">
        <f>E130*D130</f>
        <v>2352.7864836389917</v>
      </c>
    </row>
    <row r="131" spans="1:8" ht="15.75" x14ac:dyDescent="0.25">
      <c r="A131" s="27"/>
      <c r="B131" s="102" t="s">
        <v>147</v>
      </c>
      <c r="C131" s="102"/>
      <c r="D131" s="103"/>
      <c r="E131" s="103"/>
      <c r="F131" s="103"/>
      <c r="G131" s="103"/>
      <c r="H131" s="104">
        <f>SUM(H130)</f>
        <v>2352.7864836389917</v>
      </c>
    </row>
    <row r="132" spans="1:8" ht="15.75" x14ac:dyDescent="0.25">
      <c r="A132" s="27"/>
      <c r="B132" s="16"/>
      <c r="C132" s="16"/>
      <c r="D132" s="105"/>
      <c r="E132" s="16"/>
      <c r="F132" s="16"/>
      <c r="G132" s="16"/>
      <c r="H132" s="16"/>
    </row>
    <row r="133" spans="1:8" ht="15.75" x14ac:dyDescent="0.25">
      <c r="A133" s="83"/>
      <c r="B133" s="271" t="s">
        <v>148</v>
      </c>
      <c r="C133" s="271"/>
      <c r="D133" s="271"/>
      <c r="E133" s="271"/>
      <c r="F133" s="271"/>
      <c r="G133" s="271"/>
      <c r="H133" s="271"/>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2352.7864836389917</v>
      </c>
    </row>
    <row r="136" spans="1:8" ht="15.75" x14ac:dyDescent="0.25">
      <c r="A136" s="108" t="s">
        <v>7</v>
      </c>
      <c r="B136" s="109" t="s">
        <v>152</v>
      </c>
      <c r="C136" s="109"/>
      <c r="D136" s="109"/>
      <c r="E136" s="13"/>
      <c r="F136" s="13"/>
      <c r="G136" s="13"/>
      <c r="H136" s="107">
        <f>H131</f>
        <v>2352.7864836389917</v>
      </c>
    </row>
    <row r="137" spans="1:8" ht="15.75" x14ac:dyDescent="0.25">
      <c r="A137" s="108" t="s">
        <v>17</v>
      </c>
      <c r="B137" s="7" t="s">
        <v>153</v>
      </c>
      <c r="C137" s="7"/>
      <c r="D137" s="109"/>
      <c r="E137" s="13"/>
      <c r="F137" s="13"/>
      <c r="G137" s="100">
        <v>12</v>
      </c>
      <c r="H137" s="107">
        <f>SUM(H136*G137)</f>
        <v>28233.437803667901</v>
      </c>
    </row>
    <row r="138" spans="1:8" ht="15.75" x14ac:dyDescent="0.25">
      <c r="A138" s="6"/>
      <c r="B138" s="6"/>
      <c r="C138" s="6"/>
      <c r="D138" s="6"/>
      <c r="E138" s="6"/>
      <c r="F138" s="6"/>
      <c r="G138" s="6"/>
      <c r="H138" s="6"/>
    </row>
    <row r="140" spans="1:8" x14ac:dyDescent="0.25">
      <c r="A140" s="150" t="s">
        <v>203</v>
      </c>
      <c r="B140" s="150"/>
    </row>
    <row r="141" spans="1:8" x14ac:dyDescent="0.25">
      <c r="A141" s="150" t="s">
        <v>204</v>
      </c>
      <c r="B141" s="150"/>
    </row>
    <row r="142" spans="1:8" x14ac:dyDescent="0.25">
      <c r="A142" s="150" t="s">
        <v>205</v>
      </c>
      <c r="B142" s="150"/>
    </row>
    <row r="143" spans="1:8" x14ac:dyDescent="0.25">
      <c r="A143" s="150"/>
      <c r="B143" s="150"/>
    </row>
    <row r="144" spans="1:8" x14ac:dyDescent="0.25">
      <c r="A144" s="150" t="s">
        <v>206</v>
      </c>
      <c r="B144" s="150"/>
    </row>
    <row r="146" spans="1:6" x14ac:dyDescent="0.25">
      <c r="A146" t="s">
        <v>207</v>
      </c>
    </row>
    <row r="147" spans="1:6" x14ac:dyDescent="0.25">
      <c r="A147" s="150" t="s">
        <v>208</v>
      </c>
    </row>
    <row r="148" spans="1:6" x14ac:dyDescent="0.25">
      <c r="A148" s="150" t="s">
        <v>209</v>
      </c>
    </row>
    <row r="149" spans="1:6" x14ac:dyDescent="0.25">
      <c r="A149" s="150"/>
    </row>
    <row r="150" spans="1:6" x14ac:dyDescent="0.25">
      <c r="A150" s="150" t="s">
        <v>210</v>
      </c>
    </row>
    <row r="151" spans="1:6" x14ac:dyDescent="0.25">
      <c r="A151" s="150"/>
    </row>
    <row r="152" spans="1:6" x14ac:dyDescent="0.25">
      <c r="A152" s="150" t="s">
        <v>211</v>
      </c>
    </row>
    <row r="153" spans="1:6" x14ac:dyDescent="0.25">
      <c r="A153" s="150" t="s">
        <v>212</v>
      </c>
    </row>
    <row r="154" spans="1:6" x14ac:dyDescent="0.25">
      <c r="A154" s="150"/>
    </row>
    <row r="155" spans="1:6" x14ac:dyDescent="0.25">
      <c r="A155" s="150" t="s">
        <v>206</v>
      </c>
    </row>
    <row r="156" spans="1:6" x14ac:dyDescent="0.25">
      <c r="A156" s="150" t="s">
        <v>222</v>
      </c>
    </row>
    <row r="157" spans="1:6" x14ac:dyDescent="0.25">
      <c r="B157" s="151" t="s">
        <v>213</v>
      </c>
      <c r="C157" s="152"/>
      <c r="D157" s="152"/>
      <c r="E157" s="152"/>
      <c r="F157" s="152"/>
    </row>
    <row r="158" spans="1:6" x14ac:dyDescent="0.25">
      <c r="B158" s="151"/>
      <c r="C158" s="152"/>
      <c r="D158" s="152"/>
      <c r="E158" s="152"/>
      <c r="F158" s="152"/>
    </row>
    <row r="159" spans="1:6" x14ac:dyDescent="0.25">
      <c r="B159" s="151" t="s">
        <v>214</v>
      </c>
      <c r="C159" s="152" t="s">
        <v>215</v>
      </c>
      <c r="D159" s="152" t="s">
        <v>216</v>
      </c>
      <c r="E159" s="152" t="s">
        <v>217</v>
      </c>
      <c r="F159" s="152" t="s">
        <v>218</v>
      </c>
    </row>
    <row r="160" spans="1:6" x14ac:dyDescent="0.25">
      <c r="B160" s="151" t="s">
        <v>219</v>
      </c>
      <c r="C160" s="153">
        <v>1.6500000000000001E-2</v>
      </c>
      <c r="D160" s="153">
        <v>7.5999999999999998E-2</v>
      </c>
      <c r="E160" s="154">
        <v>0.05</v>
      </c>
      <c r="F160" s="152">
        <v>0.85750000000000004</v>
      </c>
    </row>
    <row r="161" spans="1:6" x14ac:dyDescent="0.25">
      <c r="B161" s="151" t="s">
        <v>220</v>
      </c>
      <c r="C161" s="153">
        <v>6.4999999999999997E-3</v>
      </c>
      <c r="D161" s="154">
        <v>0.03</v>
      </c>
      <c r="E161" s="154">
        <v>0.05</v>
      </c>
      <c r="F161" s="152">
        <v>0.91349999999999998</v>
      </c>
    </row>
    <row r="162" spans="1:6" x14ac:dyDescent="0.25">
      <c r="B162" s="151" t="s">
        <v>221</v>
      </c>
      <c r="C162" s="153">
        <v>4.4000000000000003E-3</v>
      </c>
      <c r="D162" s="153">
        <v>2.35E-2</v>
      </c>
      <c r="E162" s="154">
        <v>0.05</v>
      </c>
      <c r="F162" s="152">
        <v>0.92210000000000003</v>
      </c>
    </row>
    <row r="164" spans="1:6" x14ac:dyDescent="0.25">
      <c r="A164" s="156" t="s">
        <v>224</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1">
      <formula1>$J$28:$J$31</formula1>
      <formula2>0</formula2>
    </dataValidation>
    <dataValidation type="list" operator="equal" allowBlank="1" showErrorMessage="1" promptTitle="Percentual" sqref="E31">
      <formula1>$K$28:$K$31</formula1>
      <formula2>0</formula2>
    </dataValidation>
  </dataValidations>
  <pageMargins left="0.7" right="0.7" top="0.75" bottom="0.75" header="0.3" footer="0.3"/>
  <pageSetup scale="45" orientation="portrait" r:id="rId1"/>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3"/>
  <sheetViews>
    <sheetView zoomScale="90" zoomScaleNormal="90" workbookViewId="0">
      <selection activeCell="D10" sqref="D10:H10"/>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5.5703125" bestFit="1" customWidth="1"/>
    <col min="8" max="8" width="27.5703125" bestFit="1" customWidth="1"/>
    <col min="9" max="9" width="12.7109375" customWidth="1"/>
    <col min="10" max="10" width="12.5703125" bestFit="1" customWidth="1"/>
  </cols>
  <sheetData>
    <row r="1" spans="1:8" x14ac:dyDescent="0.25">
      <c r="A1" s="1"/>
      <c r="B1" s="1"/>
      <c r="C1" s="1"/>
      <c r="D1" s="1"/>
      <c r="E1" s="1"/>
      <c r="F1" s="1"/>
      <c r="G1" s="1"/>
      <c r="H1" s="2"/>
    </row>
    <row r="2" spans="1:8" ht="15.75" x14ac:dyDescent="0.25">
      <c r="A2" s="3"/>
      <c r="B2" s="3" t="s">
        <v>0</v>
      </c>
      <c r="C2" s="3"/>
      <c r="D2" s="4"/>
      <c r="E2" s="3"/>
      <c r="F2" s="3" t="s">
        <v>2</v>
      </c>
      <c r="G2" s="3"/>
      <c r="H2" s="5"/>
    </row>
    <row r="3" spans="1:8" ht="15.75" x14ac:dyDescent="0.25">
      <c r="A3" s="273" t="s">
        <v>3</v>
      </c>
      <c r="B3" s="273"/>
      <c r="C3" s="273"/>
      <c r="D3" s="273"/>
      <c r="E3" s="273"/>
      <c r="F3" s="273"/>
      <c r="G3" s="273"/>
      <c r="H3" s="273"/>
    </row>
    <row r="4" spans="1:8" ht="15.75" x14ac:dyDescent="0.25">
      <c r="A4" s="6" t="s">
        <v>4</v>
      </c>
      <c r="B4" s="7" t="s">
        <v>5</v>
      </c>
      <c r="C4" s="7"/>
      <c r="D4" s="8"/>
      <c r="E4" s="291" t="s">
        <v>6</v>
      </c>
      <c r="F4" s="291"/>
      <c r="G4" s="291"/>
      <c r="H4" s="291"/>
    </row>
    <row r="5" spans="1:8" ht="15.75" x14ac:dyDescent="0.25">
      <c r="A5" s="6" t="s">
        <v>7</v>
      </c>
      <c r="B5" s="7" t="s">
        <v>8</v>
      </c>
      <c r="C5" s="7"/>
      <c r="D5" s="9"/>
      <c r="E5" s="291"/>
      <c r="F5" s="291"/>
      <c r="G5" s="291"/>
      <c r="H5" s="291"/>
    </row>
    <row r="6" spans="1:8" ht="15.75" x14ac:dyDescent="0.25">
      <c r="A6" s="6" t="s">
        <v>9</v>
      </c>
      <c r="B6" s="7" t="s">
        <v>10</v>
      </c>
      <c r="C6" s="7"/>
      <c r="D6" s="10"/>
      <c r="E6" s="291"/>
      <c r="F6" s="291"/>
      <c r="G6" s="291"/>
      <c r="H6" s="291"/>
    </row>
    <row r="7" spans="1:8" ht="15.75" x14ac:dyDescent="0.25">
      <c r="A7" s="292"/>
      <c r="B7" s="292"/>
      <c r="C7" s="292"/>
      <c r="D7" s="292"/>
      <c r="E7" s="11"/>
      <c r="F7" s="11"/>
      <c r="G7" s="11"/>
      <c r="H7" s="11"/>
    </row>
    <row r="8" spans="1:8" ht="15.75" x14ac:dyDescent="0.25">
      <c r="A8" s="273" t="s">
        <v>12</v>
      </c>
      <c r="B8" s="273"/>
      <c r="C8" s="273"/>
      <c r="D8" s="273"/>
      <c r="E8" s="273"/>
      <c r="F8" s="273"/>
      <c r="G8" s="273"/>
      <c r="H8" s="273"/>
    </row>
    <row r="9" spans="1:8" x14ac:dyDescent="0.25">
      <c r="A9" s="12" t="s">
        <v>4</v>
      </c>
      <c r="B9" s="13" t="s">
        <v>13</v>
      </c>
      <c r="C9" s="13"/>
      <c r="D9" s="296">
        <v>44301</v>
      </c>
      <c r="E9" s="285"/>
      <c r="F9" s="285"/>
      <c r="G9" s="285"/>
      <c r="H9" s="285"/>
    </row>
    <row r="10" spans="1:8" x14ac:dyDescent="0.25">
      <c r="A10" s="12" t="s">
        <v>7</v>
      </c>
      <c r="B10" s="13" t="s">
        <v>15</v>
      </c>
      <c r="C10" s="13"/>
      <c r="D10" s="293" t="s">
        <v>185</v>
      </c>
      <c r="E10" s="293"/>
      <c r="F10" s="293"/>
      <c r="G10" s="293"/>
      <c r="H10" s="293"/>
    </row>
    <row r="11" spans="1:8" x14ac:dyDescent="0.25">
      <c r="A11" s="12" t="s">
        <v>9</v>
      </c>
      <c r="B11" s="13" t="s">
        <v>16</v>
      </c>
      <c r="C11" s="13"/>
      <c r="D11" s="293" t="s">
        <v>264</v>
      </c>
      <c r="E11" s="293"/>
      <c r="F11" s="293"/>
      <c r="G11" s="293"/>
      <c r="H11" s="293"/>
    </row>
    <row r="12" spans="1:8" x14ac:dyDescent="0.25">
      <c r="A12" s="12" t="s">
        <v>17</v>
      </c>
      <c r="B12" s="13" t="s">
        <v>18</v>
      </c>
      <c r="C12" s="13"/>
      <c r="D12" s="293">
        <v>12</v>
      </c>
      <c r="E12" s="293"/>
      <c r="F12" s="293"/>
      <c r="G12" s="293"/>
      <c r="H12" s="293"/>
    </row>
    <row r="13" spans="1:8" x14ac:dyDescent="0.25">
      <c r="A13" s="12"/>
      <c r="B13" s="13"/>
      <c r="C13" s="13"/>
      <c r="D13" s="14"/>
      <c r="E13" s="14"/>
      <c r="F13" s="14"/>
      <c r="G13" s="14"/>
      <c r="H13" s="15"/>
    </row>
    <row r="14" spans="1:8" ht="15.75" x14ac:dyDescent="0.25">
      <c r="A14" s="273" t="s">
        <v>19</v>
      </c>
      <c r="B14" s="273"/>
      <c r="C14" s="273"/>
      <c r="D14" s="273"/>
      <c r="E14" s="273"/>
      <c r="F14" s="273"/>
      <c r="G14" s="273"/>
      <c r="H14" s="273"/>
    </row>
    <row r="15" spans="1:8" ht="15.75" x14ac:dyDescent="0.25">
      <c r="A15" s="12"/>
      <c r="B15" s="16" t="s">
        <v>20</v>
      </c>
      <c r="C15" s="16"/>
      <c r="D15" s="17" t="s">
        <v>21</v>
      </c>
      <c r="E15" s="294" t="s">
        <v>22</v>
      </c>
      <c r="F15" s="294"/>
      <c r="G15" s="294"/>
      <c r="H15" s="294"/>
    </row>
    <row r="16" spans="1:8" x14ac:dyDescent="0.25">
      <c r="A16" s="12" t="s">
        <v>4</v>
      </c>
      <c r="B16" s="18" t="s">
        <v>180</v>
      </c>
      <c r="C16" s="19"/>
      <c r="D16" s="20" t="s">
        <v>23</v>
      </c>
      <c r="E16" s="295">
        <v>1</v>
      </c>
      <c r="F16" s="295"/>
      <c r="G16" s="295"/>
      <c r="H16" s="295"/>
    </row>
    <row r="17" spans="1:8" x14ac:dyDescent="0.25">
      <c r="A17" s="12" t="s">
        <v>7</v>
      </c>
      <c r="B17" s="13"/>
      <c r="C17" s="13"/>
      <c r="D17" s="21"/>
      <c r="E17" s="283"/>
      <c r="F17" s="283"/>
      <c r="G17" s="283"/>
      <c r="H17" s="283"/>
    </row>
    <row r="18" spans="1:8" x14ac:dyDescent="0.25">
      <c r="A18" s="12" t="s">
        <v>9</v>
      </c>
      <c r="B18" s="13"/>
      <c r="C18" s="13"/>
      <c r="D18" s="21"/>
      <c r="E18" s="283"/>
      <c r="F18" s="283"/>
      <c r="G18" s="283"/>
      <c r="H18" s="283"/>
    </row>
    <row r="19" spans="1:8" ht="15.75" x14ac:dyDescent="0.25">
      <c r="A19" s="110"/>
      <c r="B19" s="273" t="s">
        <v>24</v>
      </c>
      <c r="C19" s="273"/>
      <c r="D19" s="273"/>
      <c r="E19" s="273"/>
      <c r="F19" s="273"/>
      <c r="G19" s="273"/>
      <c r="H19" s="273"/>
    </row>
    <row r="20" spans="1:8" ht="15.75" x14ac:dyDescent="0.25">
      <c r="A20" s="284" t="s">
        <v>25</v>
      </c>
      <c r="B20" s="284"/>
      <c r="C20" s="284"/>
      <c r="D20" s="284"/>
      <c r="E20" s="284"/>
      <c r="F20" s="284"/>
      <c r="G20" s="284"/>
      <c r="H20" s="284"/>
    </row>
    <row r="21" spans="1:8" x14ac:dyDescent="0.25">
      <c r="A21" s="12">
        <v>1</v>
      </c>
      <c r="B21" s="13" t="s">
        <v>20</v>
      </c>
      <c r="C21" s="13"/>
      <c r="D21" s="285" t="s">
        <v>249</v>
      </c>
      <c r="E21" s="285"/>
      <c r="F21" s="285"/>
      <c r="G21" s="285"/>
      <c r="H21" s="285"/>
    </row>
    <row r="22" spans="1:8" x14ac:dyDescent="0.25">
      <c r="A22" s="12">
        <v>2</v>
      </c>
      <c r="B22" s="13" t="s">
        <v>26</v>
      </c>
      <c r="C22" s="13"/>
      <c r="D22" s="286" t="s">
        <v>241</v>
      </c>
      <c r="E22" s="286"/>
      <c r="F22" s="286"/>
      <c r="G22" s="286"/>
      <c r="H22" s="286"/>
    </row>
    <row r="23" spans="1:8" x14ac:dyDescent="0.25">
      <c r="A23" s="12">
        <v>3</v>
      </c>
      <c r="B23" s="13" t="s">
        <v>27</v>
      </c>
      <c r="C23" s="13"/>
      <c r="D23" s="22">
        <v>1144.18</v>
      </c>
      <c r="E23" s="23"/>
      <c r="F23" s="23"/>
      <c r="G23" s="23"/>
      <c r="H23" s="23"/>
    </row>
    <row r="24" spans="1:8" ht="30" x14ac:dyDescent="0.25">
      <c r="A24" s="1">
        <v>4</v>
      </c>
      <c r="B24" s="24" t="s">
        <v>28</v>
      </c>
      <c r="C24" s="24"/>
      <c r="D24" s="287" t="s">
        <v>266</v>
      </c>
      <c r="E24" s="287"/>
      <c r="F24" s="287"/>
      <c r="G24" s="287"/>
      <c r="H24" s="287"/>
    </row>
    <row r="25" spans="1:8" x14ac:dyDescent="0.25">
      <c r="A25" s="1">
        <v>5</v>
      </c>
      <c r="B25" s="25" t="s">
        <v>29</v>
      </c>
      <c r="C25" s="25"/>
      <c r="D25" s="288" t="s">
        <v>265</v>
      </c>
      <c r="E25" s="288"/>
      <c r="F25" s="288"/>
      <c r="G25" s="288"/>
      <c r="H25" s="288"/>
    </row>
    <row r="26" spans="1:8" ht="15.75" x14ac:dyDescent="0.25">
      <c r="A26" s="189">
        <v>1</v>
      </c>
      <c r="B26" s="297" t="s">
        <v>30</v>
      </c>
      <c r="C26" s="297"/>
      <c r="D26" s="297"/>
      <c r="E26" s="297"/>
      <c r="F26" s="297"/>
      <c r="G26" s="297"/>
      <c r="H26" s="297"/>
    </row>
    <row r="27" spans="1:8" ht="15.75" x14ac:dyDescent="0.25">
      <c r="A27" s="175" t="s">
        <v>4</v>
      </c>
      <c r="B27" s="177" t="s">
        <v>31</v>
      </c>
      <c r="C27" s="177"/>
      <c r="D27" s="177"/>
      <c r="E27" s="206"/>
      <c r="F27" s="206"/>
      <c r="G27" s="178"/>
      <c r="H27" s="244">
        <f>D23</f>
        <v>1144.18</v>
      </c>
    </row>
    <row r="28" spans="1:8" ht="15.75" x14ac:dyDescent="0.25">
      <c r="A28" s="175" t="s">
        <v>7</v>
      </c>
      <c r="B28" s="177" t="s">
        <v>32</v>
      </c>
      <c r="C28" s="177"/>
      <c r="D28" s="245" t="s">
        <v>33</v>
      </c>
      <c r="E28" s="246">
        <v>0</v>
      </c>
      <c r="F28" s="206"/>
      <c r="G28" s="206"/>
      <c r="H28" s="247">
        <f>H27*E28</f>
        <v>0</v>
      </c>
    </row>
    <row r="29" spans="1:8" ht="15.75" x14ac:dyDescent="0.25">
      <c r="A29" s="175" t="s">
        <v>9</v>
      </c>
      <c r="B29" s="177" t="s">
        <v>34</v>
      </c>
      <c r="C29" s="177"/>
      <c r="D29" s="248" t="s">
        <v>35</v>
      </c>
      <c r="E29" s="249" t="s">
        <v>36</v>
      </c>
      <c r="F29" s="248" t="s">
        <v>37</v>
      </c>
      <c r="G29" s="199"/>
      <c r="H29" s="247">
        <f>E30*F30</f>
        <v>0</v>
      </c>
    </row>
    <row r="30" spans="1:8" ht="15.75" x14ac:dyDescent="0.25">
      <c r="A30" s="175" t="s">
        <v>17</v>
      </c>
      <c r="B30" s="177" t="s">
        <v>38</v>
      </c>
      <c r="C30" s="177"/>
      <c r="D30" s="245" t="s">
        <v>39</v>
      </c>
      <c r="E30" s="250">
        <v>0</v>
      </c>
      <c r="F30" s="251"/>
      <c r="G30" s="177"/>
      <c r="H30" s="252"/>
    </row>
    <row r="31" spans="1:8" ht="15.75" x14ac:dyDescent="0.25">
      <c r="A31" s="175" t="s">
        <v>40</v>
      </c>
      <c r="B31" s="177" t="s">
        <v>41</v>
      </c>
      <c r="C31" s="177"/>
      <c r="D31" s="206"/>
      <c r="E31" s="206"/>
      <c r="F31" s="206"/>
      <c r="G31" s="199"/>
      <c r="H31" s="252"/>
    </row>
    <row r="32" spans="1:8" ht="15.75" x14ac:dyDescent="0.25">
      <c r="A32" s="175" t="s">
        <v>42</v>
      </c>
      <c r="B32" s="177" t="s">
        <v>159</v>
      </c>
      <c r="C32" s="177"/>
      <c r="D32" s="206"/>
      <c r="E32" s="206"/>
      <c r="F32" s="206"/>
      <c r="G32" s="199"/>
      <c r="H32" s="252"/>
    </row>
    <row r="33" spans="1:10" ht="15.75" x14ac:dyDescent="0.25">
      <c r="A33" s="175" t="s">
        <v>61</v>
      </c>
      <c r="B33" s="177" t="s">
        <v>155</v>
      </c>
      <c r="C33" s="177"/>
      <c r="D33" s="206"/>
      <c r="E33" s="206"/>
      <c r="F33" s="206"/>
      <c r="G33" s="199"/>
      <c r="H33" s="252"/>
    </row>
    <row r="34" spans="1:10" ht="15.75" x14ac:dyDescent="0.25">
      <c r="A34" s="175" t="s">
        <v>43</v>
      </c>
      <c r="B34" s="176" t="s">
        <v>160</v>
      </c>
      <c r="C34" s="176"/>
      <c r="D34" s="206"/>
      <c r="E34" s="206"/>
      <c r="F34" s="206"/>
      <c r="G34" s="199"/>
      <c r="H34" s="252"/>
    </row>
    <row r="35" spans="1:10" ht="15.75" x14ac:dyDescent="0.25">
      <c r="A35" s="175" t="s">
        <v>161</v>
      </c>
      <c r="B35" s="176" t="s">
        <v>162</v>
      </c>
      <c r="C35" s="176"/>
      <c r="D35" s="206"/>
      <c r="E35" s="206"/>
      <c r="F35" s="206"/>
      <c r="G35" s="199"/>
      <c r="H35" s="252"/>
      <c r="J35" s="121"/>
    </row>
    <row r="36" spans="1:10" ht="15.75" x14ac:dyDescent="0.25">
      <c r="A36" s="175" t="s">
        <v>19</v>
      </c>
      <c r="B36" s="177" t="s">
        <v>44</v>
      </c>
      <c r="C36" s="177"/>
      <c r="D36" s="177"/>
      <c r="E36" s="177"/>
      <c r="F36" s="199"/>
      <c r="G36" s="199"/>
      <c r="H36" s="199">
        <v>0</v>
      </c>
    </row>
    <row r="37" spans="1:10" ht="15.75" x14ac:dyDescent="0.25">
      <c r="A37" s="39"/>
      <c r="B37" s="40" t="s">
        <v>45</v>
      </c>
      <c r="C37" s="40"/>
      <c r="D37" s="41"/>
      <c r="E37" s="41"/>
      <c r="F37" s="42"/>
      <c r="G37" s="42"/>
      <c r="H37" s="43">
        <f>SUM(H27:H36)</f>
        <v>1144.18</v>
      </c>
    </row>
    <row r="38" spans="1:10" ht="15.75" x14ac:dyDescent="0.25">
      <c r="A38" s="44">
        <v>2</v>
      </c>
      <c r="B38" s="289" t="s">
        <v>46</v>
      </c>
      <c r="C38" s="289"/>
      <c r="D38" s="289"/>
      <c r="E38" s="289"/>
      <c r="F38" s="289"/>
      <c r="G38" s="289"/>
      <c r="H38" s="289"/>
    </row>
    <row r="39" spans="1:10" ht="15.75" x14ac:dyDescent="0.25">
      <c r="A39" s="124" t="s">
        <v>47</v>
      </c>
      <c r="B39" s="290" t="s">
        <v>48</v>
      </c>
      <c r="C39" s="290"/>
      <c r="D39" s="290"/>
      <c r="E39" s="290"/>
      <c r="F39" s="290"/>
      <c r="G39" s="290"/>
      <c r="H39" s="290"/>
    </row>
    <row r="40" spans="1:10" ht="15.75" x14ac:dyDescent="0.25">
      <c r="A40" s="1" t="s">
        <v>4</v>
      </c>
      <c r="B40" s="8" t="s">
        <v>49</v>
      </c>
      <c r="C40" s="8"/>
      <c r="D40" s="8"/>
      <c r="E40" s="27"/>
      <c r="F40" s="28"/>
      <c r="G40" s="45">
        <v>8.3330000000000001E-2</v>
      </c>
      <c r="H40" s="28">
        <f>SUM($H$37*G40)</f>
        <v>95.34451940000001</v>
      </c>
    </row>
    <row r="41" spans="1:10" ht="15.75" x14ac:dyDescent="0.25">
      <c r="A41" s="1" t="s">
        <v>7</v>
      </c>
      <c r="B41" s="27" t="s">
        <v>50</v>
      </c>
      <c r="C41" s="27"/>
      <c r="D41" s="27"/>
      <c r="E41" s="27"/>
      <c r="F41" s="46"/>
      <c r="G41" s="47">
        <v>0.121</v>
      </c>
      <c r="H41" s="28">
        <f>SUM($H$37*G41)</f>
        <v>138.44578000000001</v>
      </c>
    </row>
    <row r="42" spans="1:10" ht="15.75" x14ac:dyDescent="0.25">
      <c r="A42" s="1" t="s">
        <v>9</v>
      </c>
      <c r="B42" s="48" t="s">
        <v>51</v>
      </c>
      <c r="C42" s="48"/>
      <c r="D42" s="27"/>
      <c r="E42" s="27"/>
      <c r="F42" s="46"/>
      <c r="G42" s="47">
        <f>SUM(G40:G41)*G53</f>
        <v>7.5193440000000028E-2</v>
      </c>
      <c r="H42" s="28">
        <f>SUM(H40:H41)*G53</f>
        <v>86.034830179200043</v>
      </c>
    </row>
    <row r="43" spans="1:10" ht="15.75" x14ac:dyDescent="0.25">
      <c r="A43" s="49"/>
      <c r="B43" s="50" t="s">
        <v>45</v>
      </c>
      <c r="C43" s="40"/>
      <c r="D43" s="41"/>
      <c r="E43" s="41"/>
      <c r="F43" s="42"/>
      <c r="G43" s="42"/>
      <c r="H43" s="43">
        <f>SUM(H40:H42)</f>
        <v>319.82512957920005</v>
      </c>
    </row>
    <row r="44" spans="1:10" ht="15.75" x14ac:dyDescent="0.25">
      <c r="A44" s="110" t="s">
        <v>52</v>
      </c>
      <c r="B44" s="273" t="s">
        <v>53</v>
      </c>
      <c r="C44" s="273"/>
      <c r="D44" s="273"/>
      <c r="E44" s="273"/>
      <c r="F44" s="273"/>
      <c r="G44" s="273"/>
      <c r="H44" s="273"/>
    </row>
    <row r="45" spans="1:10" ht="15.75" x14ac:dyDescent="0.25">
      <c r="A45" s="1" t="s">
        <v>4</v>
      </c>
      <c r="B45" s="51" t="s">
        <v>54</v>
      </c>
      <c r="C45" s="51"/>
      <c r="D45" s="27"/>
      <c r="E45" s="27"/>
      <c r="F45" s="28"/>
      <c r="G45" s="45">
        <v>0.2</v>
      </c>
      <c r="H45" s="28">
        <f t="shared" ref="H45:H52" si="0">SUM($H$37*G45)</f>
        <v>228.83600000000001</v>
      </c>
    </row>
    <row r="46" spans="1:10" ht="15.75" x14ac:dyDescent="0.25">
      <c r="A46" s="1" t="s">
        <v>7</v>
      </c>
      <c r="B46" s="51" t="s">
        <v>55</v>
      </c>
      <c r="C46" s="51"/>
      <c r="D46" s="282" t="s">
        <v>56</v>
      </c>
      <c r="E46" s="282"/>
      <c r="F46" s="28"/>
      <c r="G46" s="163">
        <v>1.4999999999999999E-2</v>
      </c>
      <c r="H46" s="28">
        <f t="shared" si="0"/>
        <v>17.162700000000001</v>
      </c>
    </row>
    <row r="47" spans="1:10" ht="15.75" x14ac:dyDescent="0.25">
      <c r="A47" s="1" t="s">
        <v>9</v>
      </c>
      <c r="B47" s="51" t="s">
        <v>57</v>
      </c>
      <c r="C47" s="51"/>
      <c r="D47" s="282"/>
      <c r="E47" s="282"/>
      <c r="F47" s="28"/>
      <c r="G47" s="163">
        <v>0.01</v>
      </c>
      <c r="H47" s="28">
        <f t="shared" si="0"/>
        <v>11.441800000000001</v>
      </c>
      <c r="I47" s="115"/>
    </row>
    <row r="48" spans="1:10" ht="15.75" x14ac:dyDescent="0.25">
      <c r="A48" s="1" t="s">
        <v>17</v>
      </c>
      <c r="B48" s="51" t="s">
        <v>58</v>
      </c>
      <c r="C48" s="51"/>
      <c r="D48" s="27"/>
      <c r="E48" s="27"/>
      <c r="F48" s="28"/>
      <c r="G48" s="163">
        <v>2E-3</v>
      </c>
      <c r="H48" s="28">
        <f t="shared" si="0"/>
        <v>2.2883600000000004</v>
      </c>
    </row>
    <row r="49" spans="1:9" ht="15.75" x14ac:dyDescent="0.25">
      <c r="A49" s="1" t="s">
        <v>40</v>
      </c>
      <c r="B49" s="51" t="s">
        <v>59</v>
      </c>
      <c r="C49" s="51"/>
      <c r="D49" s="27"/>
      <c r="E49" s="27"/>
      <c r="F49" s="28"/>
      <c r="G49" s="163">
        <v>2.5000000000000001E-2</v>
      </c>
      <c r="H49" s="28">
        <f t="shared" si="0"/>
        <v>28.604500000000002</v>
      </c>
    </row>
    <row r="50" spans="1:9" ht="15.75" x14ac:dyDescent="0.25">
      <c r="A50" s="1" t="s">
        <v>42</v>
      </c>
      <c r="B50" s="51" t="s">
        <v>60</v>
      </c>
      <c r="C50" s="51"/>
      <c r="D50" s="27"/>
      <c r="E50" s="27"/>
      <c r="F50" s="28"/>
      <c r="G50" s="45">
        <v>0.08</v>
      </c>
      <c r="H50" s="28">
        <f t="shared" si="0"/>
        <v>91.534400000000005</v>
      </c>
    </row>
    <row r="51" spans="1:9" ht="15.75" x14ac:dyDescent="0.25">
      <c r="A51" s="159" t="s">
        <v>61</v>
      </c>
      <c r="B51" s="160" t="s">
        <v>62</v>
      </c>
      <c r="C51" s="160"/>
      <c r="D51" s="161"/>
      <c r="E51" s="161"/>
      <c r="F51" s="161"/>
      <c r="G51" s="260">
        <v>0.03</v>
      </c>
      <c r="H51" s="162">
        <f t="shared" si="0"/>
        <v>34.325400000000002</v>
      </c>
    </row>
    <row r="52" spans="1:9" ht="15.75" x14ac:dyDescent="0.25">
      <c r="A52" s="1" t="s">
        <v>43</v>
      </c>
      <c r="B52" s="51" t="s">
        <v>63</v>
      </c>
      <c r="C52" s="51"/>
      <c r="D52" s="27"/>
      <c r="E52" s="27"/>
      <c r="F52" s="28"/>
      <c r="G52" s="163">
        <v>6.0000000000000001E-3</v>
      </c>
      <c r="H52" s="28">
        <f t="shared" si="0"/>
        <v>6.8650800000000007</v>
      </c>
    </row>
    <row r="53" spans="1:9" ht="15.75" x14ac:dyDescent="0.25">
      <c r="A53" s="54"/>
      <c r="B53" s="55" t="s">
        <v>45</v>
      </c>
      <c r="C53" s="55"/>
      <c r="D53" s="40"/>
      <c r="E53" s="40"/>
      <c r="F53" s="56"/>
      <c r="G53" s="57">
        <f>SUM(G45:G52)</f>
        <v>0.3680000000000001</v>
      </c>
      <c r="H53" s="58">
        <f>SUM(H45:H52)</f>
        <v>421.05824000000007</v>
      </c>
    </row>
    <row r="54" spans="1:9" ht="15.75" x14ac:dyDescent="0.25">
      <c r="A54" s="110" t="s">
        <v>64</v>
      </c>
      <c r="B54" s="273" t="s">
        <v>65</v>
      </c>
      <c r="C54" s="273"/>
      <c r="D54" s="273"/>
      <c r="E54" s="273"/>
      <c r="F54" s="273"/>
      <c r="G54" s="273"/>
      <c r="H54" s="273"/>
    </row>
    <row r="55" spans="1:9" ht="15.75" x14ac:dyDescent="0.25">
      <c r="A55" s="6" t="s">
        <v>66</v>
      </c>
      <c r="B55" s="59"/>
      <c r="C55" s="59"/>
      <c r="D55" s="60" t="s">
        <v>67</v>
      </c>
      <c r="E55" s="60" t="s">
        <v>68</v>
      </c>
      <c r="F55" s="60" t="s">
        <v>69</v>
      </c>
      <c r="G55" s="60" t="s">
        <v>70</v>
      </c>
      <c r="H55" s="6"/>
    </row>
    <row r="56" spans="1:9" ht="15.75" x14ac:dyDescent="0.25">
      <c r="A56" s="274" t="s">
        <v>4</v>
      </c>
      <c r="B56" s="6" t="s">
        <v>71</v>
      </c>
      <c r="C56" s="6"/>
      <c r="D56" s="275">
        <v>0</v>
      </c>
      <c r="E56" s="276"/>
      <c r="F56" s="277"/>
      <c r="G56" s="278">
        <v>0</v>
      </c>
      <c r="H56" s="35">
        <f>F56*E56*D56</f>
        <v>0</v>
      </c>
      <c r="I56" t="s">
        <v>255</v>
      </c>
    </row>
    <row r="57" spans="1:9" ht="15.75" x14ac:dyDescent="0.25">
      <c r="A57" s="274"/>
      <c r="B57" s="6" t="s">
        <v>72</v>
      </c>
      <c r="C57" s="6"/>
      <c r="D57" s="275"/>
      <c r="E57" s="275"/>
      <c r="F57" s="275"/>
      <c r="G57" s="275"/>
      <c r="H57" s="35">
        <f>H27*G56</f>
        <v>0</v>
      </c>
    </row>
    <row r="58" spans="1:9" ht="15.75" x14ac:dyDescent="0.25">
      <c r="A58" s="274"/>
      <c r="B58" s="8" t="s">
        <v>73</v>
      </c>
      <c r="C58" s="8"/>
      <c r="D58" s="8"/>
      <c r="E58" s="27"/>
      <c r="F58" s="27"/>
      <c r="G58" s="61"/>
      <c r="H58" s="35">
        <f>H56-H57</f>
        <v>0</v>
      </c>
    </row>
    <row r="59" spans="1:9" ht="15.75" x14ac:dyDescent="0.25">
      <c r="A59" s="274" t="s">
        <v>7</v>
      </c>
      <c r="B59" s="6" t="s">
        <v>74</v>
      </c>
      <c r="C59" s="6"/>
      <c r="D59" s="298">
        <v>1</v>
      </c>
      <c r="E59" s="299">
        <v>1</v>
      </c>
      <c r="F59" s="300">
        <v>175.25</v>
      </c>
      <c r="G59" s="278">
        <v>0.2</v>
      </c>
      <c r="H59" s="35">
        <f>F59*E59*D59</f>
        <v>175.25</v>
      </c>
    </row>
    <row r="60" spans="1:9" ht="15.75" x14ac:dyDescent="0.25">
      <c r="A60" s="274"/>
      <c r="B60" s="6" t="s">
        <v>72</v>
      </c>
      <c r="C60" s="6"/>
      <c r="D60" s="298"/>
      <c r="E60" s="298"/>
      <c r="F60" s="298"/>
      <c r="G60" s="275"/>
      <c r="H60" s="35">
        <f>H59*G59</f>
        <v>35.050000000000004</v>
      </c>
    </row>
    <row r="61" spans="1:9" ht="15.75" x14ac:dyDescent="0.25">
      <c r="A61" s="274"/>
      <c r="B61" s="279" t="s">
        <v>75</v>
      </c>
      <c r="C61" s="279"/>
      <c r="D61" s="279"/>
      <c r="E61" s="279"/>
      <c r="F61" s="13"/>
      <c r="G61" s="13"/>
      <c r="H61" s="35">
        <f>H59-H60</f>
        <v>140.19999999999999</v>
      </c>
    </row>
    <row r="62" spans="1:9" ht="15.75" x14ac:dyDescent="0.25">
      <c r="A62" s="62" t="s">
        <v>9</v>
      </c>
      <c r="B62" s="279" t="s">
        <v>267</v>
      </c>
      <c r="C62" s="279"/>
      <c r="D62" s="279"/>
      <c r="E62" s="279"/>
      <c r="F62" s="13"/>
      <c r="G62" s="13"/>
      <c r="H62" s="35">
        <v>100</v>
      </c>
    </row>
    <row r="63" spans="1:9" ht="15.75" x14ac:dyDescent="0.25">
      <c r="A63" s="62" t="s">
        <v>17</v>
      </c>
      <c r="B63" s="117" t="s">
        <v>250</v>
      </c>
      <c r="C63" s="117"/>
      <c r="D63" s="117"/>
      <c r="E63" s="117" t="s">
        <v>163</v>
      </c>
      <c r="F63" s="13"/>
      <c r="G63" s="13"/>
      <c r="H63" s="35">
        <v>11</v>
      </c>
    </row>
    <row r="64" spans="1:9" ht="15.75" x14ac:dyDescent="0.25">
      <c r="A64" s="62" t="s">
        <v>40</v>
      </c>
      <c r="B64" s="116" t="s">
        <v>223</v>
      </c>
      <c r="C64" s="117"/>
      <c r="D64" s="117"/>
      <c r="E64" s="117"/>
      <c r="F64" s="13"/>
      <c r="G64" s="13"/>
      <c r="H64" s="35">
        <v>4.0599999999999996</v>
      </c>
    </row>
    <row r="65" spans="1:13" ht="15.75" x14ac:dyDescent="0.25">
      <c r="A65" s="62" t="s">
        <v>42</v>
      </c>
      <c r="B65" s="116" t="s">
        <v>268</v>
      </c>
      <c r="C65" s="116"/>
      <c r="D65" s="116"/>
      <c r="E65" s="118">
        <v>0</v>
      </c>
      <c r="H65" s="261">
        <v>0</v>
      </c>
      <c r="J65" s="125"/>
      <c r="K65" s="13"/>
      <c r="L65" s="13"/>
      <c r="M65" s="35"/>
    </row>
    <row r="66" spans="1:13" ht="15.75" x14ac:dyDescent="0.25">
      <c r="A66" s="63"/>
      <c r="B66" s="280" t="s">
        <v>45</v>
      </c>
      <c r="C66" s="280"/>
      <c r="D66" s="280"/>
      <c r="E66" s="280"/>
      <c r="F66" s="64"/>
      <c r="G66" s="64"/>
      <c r="H66" s="65">
        <f>H58+H61+H62+H63+H65+H64</f>
        <v>255.26</v>
      </c>
    </row>
    <row r="67" spans="1:13" ht="15.75" x14ac:dyDescent="0.25">
      <c r="A67" s="273" t="s">
        <v>79</v>
      </c>
      <c r="B67" s="273"/>
      <c r="C67" s="273"/>
      <c r="D67" s="273"/>
      <c r="E67" s="273"/>
      <c r="F67" s="273"/>
      <c r="G67" s="273"/>
      <c r="H67" s="273"/>
    </row>
    <row r="68" spans="1:13" ht="15.75" x14ac:dyDescent="0.25">
      <c r="A68" s="62" t="s">
        <v>47</v>
      </c>
      <c r="B68" s="8" t="s">
        <v>80</v>
      </c>
      <c r="C68" s="8"/>
      <c r="D68" s="66"/>
      <c r="E68" s="66"/>
      <c r="F68" s="13"/>
      <c r="G68" s="13"/>
      <c r="H68" s="67">
        <f>H43</f>
        <v>319.82512957920005</v>
      </c>
    </row>
    <row r="69" spans="1:13" ht="15.75" x14ac:dyDescent="0.25">
      <c r="A69" s="62" t="s">
        <v>52</v>
      </c>
      <c r="B69" s="8" t="s">
        <v>81</v>
      </c>
      <c r="C69" s="8"/>
      <c r="D69" s="66"/>
      <c r="E69" s="66"/>
      <c r="F69" s="13"/>
      <c r="G69" s="13"/>
      <c r="H69" s="67">
        <f>H53</f>
        <v>421.05824000000007</v>
      </c>
    </row>
    <row r="70" spans="1:13" ht="15.75" x14ac:dyDescent="0.25">
      <c r="A70" s="62" t="s">
        <v>64</v>
      </c>
      <c r="B70" s="8" t="s">
        <v>82</v>
      </c>
      <c r="C70" s="8"/>
      <c r="D70" s="66"/>
      <c r="E70" s="66"/>
      <c r="F70" s="13"/>
      <c r="G70" s="13"/>
      <c r="H70" s="67">
        <f>H66</f>
        <v>255.26</v>
      </c>
    </row>
    <row r="71" spans="1:13" ht="15.75" x14ac:dyDescent="0.25">
      <c r="A71" s="63"/>
      <c r="B71" s="126" t="s">
        <v>45</v>
      </c>
      <c r="C71" s="126"/>
      <c r="D71" s="126"/>
      <c r="E71" s="126"/>
      <c r="F71" s="64"/>
      <c r="G71" s="64"/>
      <c r="H71" s="65">
        <f>SUM(H68:H70)</f>
        <v>996.14336957920011</v>
      </c>
    </row>
    <row r="72" spans="1:13" ht="15.75" x14ac:dyDescent="0.25">
      <c r="A72" s="68">
        <v>3</v>
      </c>
      <c r="B72" s="271" t="s">
        <v>83</v>
      </c>
      <c r="C72" s="271"/>
      <c r="D72" s="271"/>
      <c r="E72" s="271"/>
      <c r="F72" s="271"/>
      <c r="G72" s="271"/>
      <c r="H72" s="271"/>
    </row>
    <row r="73" spans="1:13" ht="15.75" x14ac:dyDescent="0.25">
      <c r="A73" s="1" t="s">
        <v>4</v>
      </c>
      <c r="B73" s="48" t="s">
        <v>84</v>
      </c>
      <c r="C73" s="48"/>
      <c r="D73" s="69"/>
      <c r="E73" s="69"/>
      <c r="F73" s="69"/>
      <c r="G73" s="45">
        <f>1/12*5%</f>
        <v>4.1666666666666666E-3</v>
      </c>
      <c r="H73" s="28">
        <f>SUM($H$37*G73)</f>
        <v>4.7674166666666666</v>
      </c>
    </row>
    <row r="74" spans="1:13" ht="15.75" x14ac:dyDescent="0.25">
      <c r="A74" s="1" t="s">
        <v>7</v>
      </c>
      <c r="B74" s="48" t="s">
        <v>85</v>
      </c>
      <c r="C74" s="48"/>
      <c r="D74" s="27"/>
      <c r="E74" s="27"/>
      <c r="F74" s="28"/>
      <c r="G74" s="45">
        <f>G73*0.08</f>
        <v>3.3333333333333332E-4</v>
      </c>
      <c r="H74" s="28">
        <f>SUM($H$37*G74)</f>
        <v>0.38139333333333336</v>
      </c>
      <c r="I74" s="115"/>
    </row>
    <row r="75" spans="1:13" ht="15.75" x14ac:dyDescent="0.25">
      <c r="A75" s="1" t="s">
        <v>9</v>
      </c>
      <c r="B75" s="48" t="s">
        <v>252</v>
      </c>
      <c r="C75" s="48"/>
      <c r="D75" s="70"/>
      <c r="E75" s="70"/>
      <c r="F75" s="70"/>
      <c r="G75" s="165">
        <f>(0.08*0.4*0.9)*(1+0.0833+0.121)</f>
        <v>3.4683840000000001E-2</v>
      </c>
      <c r="H75" s="72">
        <f>(ROUND(SUM($H$37*G75),2))</f>
        <v>39.68</v>
      </c>
      <c r="J75" s="122"/>
    </row>
    <row r="76" spans="1:13" ht="15.75" x14ac:dyDescent="0.25">
      <c r="A76" s="1" t="s">
        <v>17</v>
      </c>
      <c r="B76" s="27" t="s">
        <v>87</v>
      </c>
      <c r="C76" s="27"/>
      <c r="D76" s="69"/>
      <c r="E76" s="69"/>
      <c r="F76" s="69"/>
      <c r="G76" s="45">
        <v>1.9400000000000001E-2</v>
      </c>
      <c r="H76" s="28">
        <f>SUM($H$37*G76)</f>
        <v>22.197092000000001</v>
      </c>
    </row>
    <row r="77" spans="1:13" ht="15.75" x14ac:dyDescent="0.25">
      <c r="A77" s="1" t="s">
        <v>40</v>
      </c>
      <c r="B77" s="48" t="s">
        <v>225</v>
      </c>
      <c r="C77" s="48"/>
      <c r="D77" s="27"/>
      <c r="E77" s="27"/>
      <c r="F77" s="28"/>
      <c r="G77" s="45">
        <f>G76*G53</f>
        <v>7.1392000000000027E-3</v>
      </c>
      <c r="H77" s="28">
        <f>SUM($H$37*G77)</f>
        <v>8.1685298560000028</v>
      </c>
    </row>
    <row r="78" spans="1:13" ht="15.75" x14ac:dyDescent="0.25">
      <c r="A78" s="1" t="s">
        <v>42</v>
      </c>
      <c r="B78" s="27" t="s">
        <v>253</v>
      </c>
      <c r="C78" s="27"/>
      <c r="D78" s="70"/>
      <c r="E78" s="70"/>
      <c r="F78" s="70"/>
      <c r="G78" s="163">
        <f>4%-G75</f>
        <v>5.3161600000000003E-3</v>
      </c>
      <c r="H78" s="28">
        <f>SUM($H$37*G78)</f>
        <v>6.0826439488000004</v>
      </c>
    </row>
    <row r="79" spans="1:13" ht="15.75" x14ac:dyDescent="0.25">
      <c r="A79" s="73"/>
      <c r="B79" s="55" t="s">
        <v>45</v>
      </c>
      <c r="C79" s="55"/>
      <c r="D79" s="41"/>
      <c r="E79" s="41"/>
      <c r="F79" s="74"/>
      <c r="G79" s="57">
        <f>SUM(G73:G78)</f>
        <v>7.1039199999999997E-2</v>
      </c>
      <c r="H79" s="58">
        <f>SUM(H73:H78)</f>
        <v>81.277075804800006</v>
      </c>
    </row>
    <row r="80" spans="1:13" ht="15.75" x14ac:dyDescent="0.25">
      <c r="A80" s="44">
        <v>4</v>
      </c>
      <c r="B80" s="281" t="s">
        <v>90</v>
      </c>
      <c r="C80" s="281"/>
      <c r="D80" s="281"/>
      <c r="E80" s="281"/>
      <c r="F80" s="281"/>
      <c r="G80" s="281"/>
      <c r="H80" s="281"/>
    </row>
    <row r="81" spans="1:10" ht="15.75" x14ac:dyDescent="0.25">
      <c r="A81" s="75" t="s">
        <v>91</v>
      </c>
      <c r="B81" s="273" t="s">
        <v>236</v>
      </c>
      <c r="C81" s="273"/>
      <c r="D81" s="273"/>
      <c r="E81" s="273"/>
      <c r="F81" s="273"/>
      <c r="G81" s="273"/>
      <c r="H81" s="273"/>
    </row>
    <row r="82" spans="1:10" ht="15.75" x14ac:dyDescent="0.25">
      <c r="A82" s="12" t="s">
        <v>4</v>
      </c>
      <c r="B82" s="51" t="s">
        <v>226</v>
      </c>
      <c r="C82" s="51"/>
      <c r="D82" s="53"/>
      <c r="E82" s="53"/>
      <c r="F82" s="53"/>
      <c r="G82" s="262">
        <v>0</v>
      </c>
      <c r="H82" s="28"/>
    </row>
    <row r="83" spans="1:10" ht="15.75" x14ac:dyDescent="0.25">
      <c r="A83" s="123" t="s">
        <v>7</v>
      </c>
      <c r="B83" s="51" t="s">
        <v>227</v>
      </c>
      <c r="C83" s="272" t="s">
        <v>95</v>
      </c>
      <c r="D83" s="168">
        <v>5.96</v>
      </c>
      <c r="E83" s="272" t="s">
        <v>96</v>
      </c>
      <c r="F83" s="170">
        <v>1</v>
      </c>
      <c r="G83" s="45">
        <f t="shared" ref="G83:G88" si="1">D83/360*F83</f>
        <v>1.6555555555555556E-2</v>
      </c>
      <c r="H83" s="28">
        <f>SUM(H$37*G83)</f>
        <v>18.942535555555558</v>
      </c>
    </row>
    <row r="84" spans="1:10" ht="15.75" x14ac:dyDescent="0.25">
      <c r="A84" s="12" t="s">
        <v>9</v>
      </c>
      <c r="B84" s="51" t="s">
        <v>228</v>
      </c>
      <c r="C84" s="272"/>
      <c r="D84" s="168">
        <v>5</v>
      </c>
      <c r="E84" s="272"/>
      <c r="F84" s="170">
        <v>1.4999999999999999E-2</v>
      </c>
      <c r="G84" s="45">
        <f t="shared" si="1"/>
        <v>2.0833333333333332E-4</v>
      </c>
      <c r="H84" s="28">
        <f>SUM(H$37*G84)</f>
        <v>0.23837083333333334</v>
      </c>
    </row>
    <row r="85" spans="1:10" ht="15.75" x14ac:dyDescent="0.25">
      <c r="A85" s="12" t="s">
        <v>17</v>
      </c>
      <c r="B85" s="51" t="s">
        <v>229</v>
      </c>
      <c r="C85" s="272"/>
      <c r="D85" s="168">
        <v>15</v>
      </c>
      <c r="E85" s="272"/>
      <c r="F85" s="171">
        <v>7.7999999999999996E-3</v>
      </c>
      <c r="G85" s="45">
        <f t="shared" si="1"/>
        <v>3.2499999999999999E-4</v>
      </c>
      <c r="H85" s="28">
        <f>SUM(H$37*G85)</f>
        <v>0.37185849999999998</v>
      </c>
    </row>
    <row r="86" spans="1:10" ht="15.75" x14ac:dyDescent="0.25">
      <c r="A86" s="12" t="s">
        <v>40</v>
      </c>
      <c r="B86" s="51" t="s">
        <v>230</v>
      </c>
      <c r="C86" s="272"/>
      <c r="D86" s="168">
        <v>120</v>
      </c>
      <c r="E86" s="272"/>
      <c r="F86" s="170"/>
      <c r="G86" s="45">
        <v>5.9999999999999995E-4</v>
      </c>
      <c r="H86" s="28">
        <f>SUM(H$37*G86)</f>
        <v>0.68650800000000001</v>
      </c>
    </row>
    <row r="87" spans="1:10" ht="15.75" x14ac:dyDescent="0.25">
      <c r="A87" s="12" t="s">
        <v>42</v>
      </c>
      <c r="B87" s="51" t="s">
        <v>101</v>
      </c>
      <c r="C87" s="272"/>
      <c r="D87" s="169"/>
      <c r="E87" s="272"/>
      <c r="F87" s="172"/>
      <c r="G87" s="45">
        <v>0</v>
      </c>
      <c r="H87" s="81">
        <f>SUM(H$37*G87)</f>
        <v>0</v>
      </c>
    </row>
    <row r="88" spans="1:10" ht="15.75" x14ac:dyDescent="0.25">
      <c r="A88" s="12" t="s">
        <v>61</v>
      </c>
      <c r="B88" s="51"/>
      <c r="C88" s="272"/>
      <c r="D88" s="79"/>
      <c r="E88" s="272"/>
      <c r="F88" s="82"/>
      <c r="G88" s="45">
        <f t="shared" si="1"/>
        <v>0</v>
      </c>
      <c r="H88" s="81"/>
    </row>
    <row r="89" spans="1:10" ht="15.75" x14ac:dyDescent="0.25">
      <c r="A89" s="19"/>
      <c r="B89" s="6" t="s">
        <v>102</v>
      </c>
      <c r="C89" s="6"/>
      <c r="D89" s="27"/>
      <c r="E89" s="27"/>
      <c r="F89" s="28"/>
      <c r="G89" s="45">
        <f>SUM(G82:G88)</f>
        <v>1.7688888888888889E-2</v>
      </c>
      <c r="H89" s="28">
        <f>SUM(H82:H88)</f>
        <v>20.239272888888891</v>
      </c>
      <c r="I89" s="121"/>
    </row>
    <row r="90" spans="1:10" ht="15.75" x14ac:dyDescent="0.25">
      <c r="A90" s="12" t="s">
        <v>42</v>
      </c>
      <c r="B90" s="51" t="s">
        <v>103</v>
      </c>
      <c r="C90" s="51"/>
      <c r="D90" s="27"/>
      <c r="E90" s="27"/>
      <c r="F90" s="28"/>
      <c r="G90" s="45">
        <v>0</v>
      </c>
      <c r="H90" s="28">
        <v>0</v>
      </c>
      <c r="I90" s="115"/>
      <c r="J90" s="122"/>
    </row>
    <row r="91" spans="1:10" ht="15.75" x14ac:dyDescent="0.25">
      <c r="A91" s="73"/>
      <c r="B91" s="55" t="s">
        <v>45</v>
      </c>
      <c r="C91" s="55"/>
      <c r="D91" s="41"/>
      <c r="E91" s="41"/>
      <c r="F91" s="74"/>
      <c r="G91" s="57">
        <f>G90+G89</f>
        <v>1.7688888888888889E-2</v>
      </c>
      <c r="H91" s="58">
        <f>SUM(H89:H90)</f>
        <v>20.239272888888891</v>
      </c>
    </row>
    <row r="92" spans="1:10" ht="15.75" x14ac:dyDescent="0.25">
      <c r="A92" s="75" t="s">
        <v>104</v>
      </c>
      <c r="B92" s="273" t="s">
        <v>232</v>
      </c>
      <c r="C92" s="273"/>
      <c r="D92" s="273"/>
      <c r="E92" s="273"/>
      <c r="F92" s="273"/>
      <c r="G92" s="273"/>
      <c r="H92" s="273"/>
    </row>
    <row r="93" spans="1:10" ht="15.75" x14ac:dyDescent="0.25">
      <c r="A93" s="12" t="s">
        <v>4</v>
      </c>
      <c r="B93" s="51" t="s">
        <v>234</v>
      </c>
      <c r="C93" s="51"/>
      <c r="D93" s="53"/>
      <c r="E93" s="53"/>
      <c r="F93" s="53"/>
      <c r="G93" s="163">
        <v>0</v>
      </c>
      <c r="H93" s="28">
        <f>SUM(H$37*G93)</f>
        <v>0</v>
      </c>
    </row>
    <row r="94" spans="1:10" ht="15.75" x14ac:dyDescent="0.25">
      <c r="A94" s="12" t="s">
        <v>7</v>
      </c>
      <c r="B94" s="51" t="s">
        <v>107</v>
      </c>
      <c r="C94" s="51"/>
      <c r="D94" s="53"/>
      <c r="E94" s="53"/>
      <c r="F94" s="53"/>
      <c r="G94" s="45">
        <f>G93*G53</f>
        <v>0</v>
      </c>
      <c r="H94" s="28">
        <f>SUM($H$37*G94)</f>
        <v>0</v>
      </c>
    </row>
    <row r="95" spans="1:10" ht="15.75" x14ac:dyDescent="0.25">
      <c r="A95" s="73"/>
      <c r="B95" s="55" t="s">
        <v>45</v>
      </c>
      <c r="C95" s="55"/>
      <c r="D95" s="41"/>
      <c r="E95" s="41"/>
      <c r="F95" s="74"/>
      <c r="G95" s="57">
        <f>G94+G93</f>
        <v>0</v>
      </c>
      <c r="H95" s="58">
        <f>SUM(H93:H94)</f>
        <v>0</v>
      </c>
    </row>
    <row r="96" spans="1:10" ht="15.75" x14ac:dyDescent="0.25">
      <c r="A96" s="273" t="s">
        <v>108</v>
      </c>
      <c r="B96" s="273"/>
      <c r="C96" s="273"/>
      <c r="D96" s="273"/>
      <c r="E96" s="273"/>
      <c r="F96" s="273"/>
      <c r="G96" s="273"/>
      <c r="H96" s="273"/>
    </row>
    <row r="97" spans="1:10" ht="15.75" x14ac:dyDescent="0.25">
      <c r="A97" s="12" t="s">
        <v>91</v>
      </c>
      <c r="B97" s="51" t="s">
        <v>235</v>
      </c>
      <c r="C97" s="51"/>
      <c r="D97" s="53"/>
      <c r="E97" s="53"/>
      <c r="F97" s="53"/>
      <c r="G97" s="45">
        <f>G91</f>
        <v>1.7688888888888889E-2</v>
      </c>
      <c r="H97" s="28">
        <f>H91</f>
        <v>20.239272888888891</v>
      </c>
    </row>
    <row r="98" spans="1:10" ht="15.75" x14ac:dyDescent="0.25">
      <c r="A98" s="12" t="s">
        <v>104</v>
      </c>
      <c r="B98" s="51" t="s">
        <v>233</v>
      </c>
      <c r="C98" s="51"/>
      <c r="D98" s="53"/>
      <c r="E98" s="53"/>
      <c r="F98" s="53"/>
      <c r="G98" s="45">
        <f>G95</f>
        <v>0</v>
      </c>
      <c r="H98" s="28">
        <f>H95</f>
        <v>0</v>
      </c>
    </row>
    <row r="99" spans="1:10" ht="15.75" x14ac:dyDescent="0.25">
      <c r="A99" s="73"/>
      <c r="B99" s="55" t="s">
        <v>45</v>
      </c>
      <c r="C99" s="55"/>
      <c r="D99" s="41"/>
      <c r="E99" s="41"/>
      <c r="F99" s="74"/>
      <c r="G99" s="57">
        <f>G95+G91</f>
        <v>1.7688888888888889E-2</v>
      </c>
      <c r="H99" s="58">
        <f>SUM(H97:H98)</f>
        <v>20.239272888888891</v>
      </c>
    </row>
    <row r="100" spans="1:10" ht="15.75" x14ac:dyDescent="0.25">
      <c r="A100" s="83">
        <v>5</v>
      </c>
      <c r="B100" s="273" t="s">
        <v>110</v>
      </c>
      <c r="C100" s="273"/>
      <c r="D100" s="273"/>
      <c r="E100" s="273"/>
      <c r="F100" s="273"/>
      <c r="G100" s="273"/>
      <c r="H100" s="273"/>
    </row>
    <row r="101" spans="1:10" ht="15.75" x14ac:dyDescent="0.25">
      <c r="A101" s="12" t="s">
        <v>4</v>
      </c>
      <c r="B101" s="13" t="s">
        <v>111</v>
      </c>
      <c r="C101" s="13"/>
      <c r="D101" s="84"/>
      <c r="E101" s="27"/>
      <c r="F101" s="85"/>
      <c r="G101" s="85"/>
      <c r="H101" s="85">
        <v>16.920000000000002</v>
      </c>
    </row>
    <row r="102" spans="1:10" ht="15.75" x14ac:dyDescent="0.25">
      <c r="A102" s="12" t="s">
        <v>7</v>
      </c>
      <c r="B102" s="13" t="s">
        <v>112</v>
      </c>
      <c r="C102" s="13"/>
      <c r="D102" s="84"/>
      <c r="E102" s="27"/>
      <c r="F102" s="85"/>
      <c r="G102" s="85"/>
      <c r="H102" s="85"/>
    </row>
    <row r="103" spans="1:10" ht="15.75" x14ac:dyDescent="0.25">
      <c r="A103" s="12" t="s">
        <v>9</v>
      </c>
      <c r="B103" s="13" t="s">
        <v>113</v>
      </c>
      <c r="C103" s="13"/>
      <c r="D103" s="84"/>
      <c r="E103" s="27"/>
      <c r="F103" s="85"/>
      <c r="G103" s="85"/>
      <c r="H103" s="85">
        <v>0</v>
      </c>
    </row>
    <row r="104" spans="1:10" ht="15.75" x14ac:dyDescent="0.25">
      <c r="A104" s="12" t="s">
        <v>17</v>
      </c>
      <c r="B104" s="13" t="s">
        <v>164</v>
      </c>
      <c r="C104" s="13"/>
      <c r="D104" s="84"/>
      <c r="E104" s="27"/>
      <c r="F104" s="85"/>
      <c r="G104" s="85"/>
      <c r="H104" s="85">
        <v>16.46</v>
      </c>
    </row>
    <row r="105" spans="1:10" ht="15.75" x14ac:dyDescent="0.25">
      <c r="A105" s="12" t="s">
        <v>40</v>
      </c>
      <c r="B105" s="13" t="s">
        <v>248</v>
      </c>
      <c r="C105" s="13"/>
      <c r="D105" s="84"/>
      <c r="E105" s="27"/>
      <c r="F105" s="85"/>
      <c r="G105" s="85"/>
      <c r="H105" s="85">
        <v>3.91</v>
      </c>
    </row>
    <row r="106" spans="1:10" ht="15.75" x14ac:dyDescent="0.25">
      <c r="A106" s="73"/>
      <c r="B106" s="55" t="s">
        <v>45</v>
      </c>
      <c r="C106" s="55"/>
      <c r="D106" s="41"/>
      <c r="E106" s="41"/>
      <c r="F106" s="74"/>
      <c r="G106" s="57"/>
      <c r="H106" s="58">
        <f>SUM(H101:H105)</f>
        <v>37.290000000000006</v>
      </c>
    </row>
    <row r="107" spans="1:10" ht="15.75" x14ac:dyDescent="0.25">
      <c r="A107" s="83">
        <v>6</v>
      </c>
      <c r="B107" s="273" t="s">
        <v>114</v>
      </c>
      <c r="C107" s="273"/>
      <c r="D107" s="273"/>
      <c r="E107" s="273"/>
      <c r="F107" s="273"/>
      <c r="G107" s="273"/>
      <c r="H107" s="273"/>
    </row>
    <row r="108" spans="1:10" ht="15.75" x14ac:dyDescent="0.25">
      <c r="A108" s="86" t="s">
        <v>4</v>
      </c>
      <c r="B108" s="27"/>
      <c r="C108" s="27"/>
      <c r="D108" s="27"/>
      <c r="E108" s="27"/>
      <c r="F108" s="27" t="s">
        <v>115</v>
      </c>
      <c r="G108" s="163">
        <v>0.03</v>
      </c>
      <c r="H108" s="28">
        <f>G108*H123</f>
        <v>68.373891548186663</v>
      </c>
    </row>
    <row r="109" spans="1:10" ht="15.75" x14ac:dyDescent="0.25">
      <c r="A109" s="86" t="s">
        <v>7</v>
      </c>
      <c r="B109" s="27"/>
      <c r="C109" s="27"/>
      <c r="D109" s="27"/>
      <c r="E109" s="27"/>
      <c r="F109" s="12" t="s">
        <v>116</v>
      </c>
      <c r="G109" s="163">
        <v>6.7900000000000002E-2</v>
      </c>
      <c r="H109" s="28">
        <f>(H108+H123)*$G$109</f>
        <v>159.39549510685106</v>
      </c>
    </row>
    <row r="110" spans="1:10" ht="15.75" x14ac:dyDescent="0.25">
      <c r="A110" s="86" t="s">
        <v>9</v>
      </c>
      <c r="B110" s="27"/>
      <c r="C110" s="27"/>
      <c r="D110" s="27"/>
      <c r="E110" s="27"/>
      <c r="F110" s="12" t="s">
        <v>117</v>
      </c>
      <c r="G110" s="87">
        <f>SUM(G111:G115)</f>
        <v>8.6499999999999994E-2</v>
      </c>
      <c r="H110" s="28">
        <f>H112+H113+H115</f>
        <v>237.38015607691918</v>
      </c>
    </row>
    <row r="111" spans="1:10" ht="15.75" x14ac:dyDescent="0.25">
      <c r="A111" s="86" t="s">
        <v>118</v>
      </c>
      <c r="B111" s="27"/>
      <c r="C111" s="27"/>
      <c r="D111" s="27"/>
      <c r="E111" s="27"/>
      <c r="F111" s="88" t="s">
        <v>119</v>
      </c>
      <c r="G111" s="45">
        <v>0</v>
      </c>
      <c r="H111" s="28"/>
    </row>
    <row r="112" spans="1:10" ht="15.75" x14ac:dyDescent="0.25">
      <c r="A112" s="86" t="s">
        <v>120</v>
      </c>
      <c r="B112" s="27"/>
      <c r="C112" s="27"/>
      <c r="D112" s="27"/>
      <c r="E112" s="27"/>
      <c r="F112" s="88" t="s">
        <v>121</v>
      </c>
      <c r="G112" s="163">
        <v>6.4999999999999997E-3</v>
      </c>
      <c r="H112" s="28">
        <f>((H108+H109+H123)/0.9135)*$G$112</f>
        <v>17.837815196531498</v>
      </c>
      <c r="J112" s="120"/>
    </row>
    <row r="113" spans="1:10" ht="15.75" x14ac:dyDescent="0.25">
      <c r="A113" s="86" t="s">
        <v>122</v>
      </c>
      <c r="B113" s="27"/>
      <c r="C113" s="27"/>
      <c r="D113" s="27"/>
      <c r="E113" s="27"/>
      <c r="F113" s="88" t="s">
        <v>123</v>
      </c>
      <c r="G113" s="163">
        <v>0.03</v>
      </c>
      <c r="H113" s="28">
        <f>((H108+H109+H123)/0.9135)*G113</f>
        <v>82.328377830145371</v>
      </c>
    </row>
    <row r="114" spans="1:10" ht="15.75" x14ac:dyDescent="0.25">
      <c r="A114" s="86" t="s">
        <v>124</v>
      </c>
      <c r="B114" s="27"/>
      <c r="C114" s="27"/>
      <c r="D114" s="27"/>
      <c r="E114" s="27"/>
      <c r="F114" s="88" t="s">
        <v>125</v>
      </c>
      <c r="G114" s="45">
        <v>0</v>
      </c>
      <c r="H114" s="28"/>
    </row>
    <row r="115" spans="1:10" ht="15.75" x14ac:dyDescent="0.25">
      <c r="A115" s="86" t="s">
        <v>126</v>
      </c>
      <c r="B115" s="27"/>
      <c r="C115" s="27"/>
      <c r="D115" s="27"/>
      <c r="E115" s="27"/>
      <c r="F115" s="88" t="s">
        <v>127</v>
      </c>
      <c r="G115" s="45">
        <v>0.05</v>
      </c>
      <c r="H115" s="28">
        <f>((H108+H109+H123)/0.9135)*G115</f>
        <v>137.21396305024231</v>
      </c>
    </row>
    <row r="116" spans="1:10" ht="15.75" x14ac:dyDescent="0.25">
      <c r="A116" s="73"/>
      <c r="B116" s="55" t="s">
        <v>45</v>
      </c>
      <c r="C116" s="55"/>
      <c r="D116" s="41"/>
      <c r="E116" s="41"/>
      <c r="F116" s="74"/>
      <c r="G116" s="57">
        <f>G110+G109+G108</f>
        <v>0.18439999999999998</v>
      </c>
      <c r="H116" s="58">
        <f>H108+H109+H110</f>
        <v>465.1495427319569</v>
      </c>
    </row>
    <row r="117" spans="1:10" ht="15.75" x14ac:dyDescent="0.25">
      <c r="A117" s="89"/>
      <c r="B117" s="271" t="s">
        <v>128</v>
      </c>
      <c r="C117" s="271"/>
      <c r="D117" s="271"/>
      <c r="E117" s="271"/>
      <c r="F117" s="271"/>
      <c r="G117" s="271"/>
      <c r="H117" s="271"/>
    </row>
    <row r="118" spans="1:10" ht="15.75" x14ac:dyDescent="0.25">
      <c r="A118" s="90" t="s">
        <v>4</v>
      </c>
      <c r="B118" s="27" t="s">
        <v>30</v>
      </c>
      <c r="C118" s="27"/>
      <c r="D118" s="27"/>
      <c r="E118" s="27"/>
      <c r="F118" s="28"/>
      <c r="G118" s="45">
        <f>SUM(H118/H$125)</f>
        <v>0.41693278678243806</v>
      </c>
      <c r="H118" s="28">
        <f>H37</f>
        <v>1144.18</v>
      </c>
    </row>
    <row r="119" spans="1:10" ht="15.75" x14ac:dyDescent="0.25">
      <c r="A119" s="90" t="s">
        <v>7</v>
      </c>
      <c r="B119" s="27" t="s">
        <v>129</v>
      </c>
      <c r="C119" s="27"/>
      <c r="D119" s="27"/>
      <c r="E119" s="27"/>
      <c r="F119" s="28"/>
      <c r="G119" s="45">
        <f>SUM(H119/H$125)</f>
        <v>0.36298906737882503</v>
      </c>
      <c r="H119" s="28">
        <f>H71</f>
        <v>996.14336957920011</v>
      </c>
    </row>
    <row r="120" spans="1:10" ht="15.75" x14ac:dyDescent="0.25">
      <c r="A120" s="90" t="s">
        <v>9</v>
      </c>
      <c r="B120" s="27" t="s">
        <v>130</v>
      </c>
      <c r="C120" s="27"/>
      <c r="D120" s="27"/>
      <c r="E120" s="27"/>
      <c r="F120" s="28"/>
      <c r="G120" s="45">
        <f>SUM(H120/H$125)</f>
        <v>2.9616911427242858E-2</v>
      </c>
      <c r="H120" s="28">
        <f>H79</f>
        <v>81.277075804800006</v>
      </c>
    </row>
    <row r="121" spans="1:10" ht="15.75" x14ac:dyDescent="0.25">
      <c r="A121" s="90" t="s">
        <v>17</v>
      </c>
      <c r="B121" s="27" t="s">
        <v>131</v>
      </c>
      <c r="C121" s="27"/>
      <c r="D121" s="27"/>
      <c r="E121" s="27"/>
      <c r="F121" s="28"/>
      <c r="G121" s="45">
        <f>SUM(H121/H$125)</f>
        <v>7.3750777395293491E-3</v>
      </c>
      <c r="H121" s="28">
        <f>H99</f>
        <v>20.239272888888891</v>
      </c>
      <c r="J121" s="115">
        <f>H108+H109+H123</f>
        <v>2506.8991049279266</v>
      </c>
    </row>
    <row r="122" spans="1:10" ht="15.75" x14ac:dyDescent="0.25">
      <c r="A122" s="90" t="s">
        <v>40</v>
      </c>
      <c r="B122" s="27" t="s">
        <v>110</v>
      </c>
      <c r="C122" s="27"/>
      <c r="D122" s="27"/>
      <c r="E122" s="27"/>
      <c r="F122" s="28"/>
      <c r="G122" s="45">
        <f>H122/H125</f>
        <v>1.3588267247388625E-2</v>
      </c>
      <c r="H122" s="28">
        <f>H106</f>
        <v>37.290000000000006</v>
      </c>
      <c r="J122" s="115">
        <f>J121/0.9135</f>
        <v>2744.2792610048459</v>
      </c>
    </row>
    <row r="123" spans="1:10" ht="15.75" x14ac:dyDescent="0.25">
      <c r="A123" s="90"/>
      <c r="B123" s="27" t="s">
        <v>132</v>
      </c>
      <c r="C123" s="27"/>
      <c r="D123" s="27"/>
      <c r="E123" s="27"/>
      <c r="F123" s="28"/>
      <c r="G123" s="45">
        <f>SUM(G118:G122)</f>
        <v>0.830502110575424</v>
      </c>
      <c r="H123" s="28">
        <f>SUM(H118:H122)</f>
        <v>2279.129718272889</v>
      </c>
    </row>
    <row r="124" spans="1:10" ht="15.75" x14ac:dyDescent="0.25">
      <c r="A124" s="90" t="s">
        <v>40</v>
      </c>
      <c r="B124" s="27" t="s">
        <v>133</v>
      </c>
      <c r="C124" s="27"/>
      <c r="D124" s="27"/>
      <c r="E124" s="27"/>
      <c r="F124" s="28"/>
      <c r="G124" s="45">
        <f>SUM(H124/H$125)</f>
        <v>0.16949788942457614</v>
      </c>
      <c r="H124" s="28">
        <f>H108+H109+H110</f>
        <v>465.1495427319569</v>
      </c>
    </row>
    <row r="125" spans="1:10" ht="15.75" x14ac:dyDescent="0.25">
      <c r="A125" s="55"/>
      <c r="B125" s="55" t="s">
        <v>134</v>
      </c>
      <c r="C125" s="55"/>
      <c r="D125" s="55"/>
      <c r="E125" s="55"/>
      <c r="F125" s="55"/>
      <c r="G125" s="55">
        <f>SUM(G123+G124)</f>
        <v>1.0000000000000002</v>
      </c>
      <c r="H125" s="91">
        <f>H124+H123</f>
        <v>2744.2792610048459</v>
      </c>
    </row>
    <row r="126" spans="1:10" ht="15.75" x14ac:dyDescent="0.25">
      <c r="A126" s="92"/>
      <c r="B126" s="271" t="s">
        <v>135</v>
      </c>
      <c r="C126" s="271"/>
      <c r="D126" s="271"/>
      <c r="E126" s="271"/>
      <c r="F126" s="271"/>
      <c r="G126" s="271"/>
      <c r="H126" s="271"/>
    </row>
    <row r="127" spans="1:10" ht="47.25" x14ac:dyDescent="0.25">
      <c r="A127" s="27"/>
      <c r="B127" s="16" t="s">
        <v>20</v>
      </c>
      <c r="C127" s="16"/>
      <c r="D127" s="93" t="s">
        <v>136</v>
      </c>
      <c r="E127" s="93" t="s">
        <v>137</v>
      </c>
      <c r="F127" s="94" t="s">
        <v>138</v>
      </c>
      <c r="G127" s="93" t="s">
        <v>139</v>
      </c>
      <c r="H127" s="95" t="s">
        <v>140</v>
      </c>
    </row>
    <row r="128" spans="1:10"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2744.2792610048459</v>
      </c>
      <c r="E129" s="166">
        <v>13</v>
      </c>
      <c r="F129" s="99">
        <f>D129*E129</f>
        <v>35675.630393062995</v>
      </c>
      <c r="G129" s="167">
        <v>1</v>
      </c>
      <c r="H129" s="28">
        <f>E129*D129</f>
        <v>35675.630393062995</v>
      </c>
    </row>
    <row r="130" spans="1:8" ht="15.75" x14ac:dyDescent="0.25">
      <c r="A130" s="27"/>
      <c r="B130" s="102" t="s">
        <v>147</v>
      </c>
      <c r="C130" s="102"/>
      <c r="D130" s="103"/>
      <c r="E130" s="103"/>
      <c r="F130" s="103"/>
      <c r="G130" s="103"/>
      <c r="H130" s="104">
        <f>SUM(H129)</f>
        <v>35675.630393062995</v>
      </c>
    </row>
    <row r="131" spans="1:8" ht="15.75" x14ac:dyDescent="0.25">
      <c r="A131" s="27"/>
      <c r="B131" s="16"/>
      <c r="C131" s="16"/>
      <c r="D131" s="105"/>
      <c r="E131" s="16"/>
      <c r="F131" s="16"/>
      <c r="G131" s="16"/>
      <c r="H131" s="16"/>
    </row>
    <row r="132" spans="1:8" ht="15.75" x14ac:dyDescent="0.25">
      <c r="A132" s="83"/>
      <c r="B132" s="271" t="s">
        <v>148</v>
      </c>
      <c r="C132" s="271"/>
      <c r="D132" s="271"/>
      <c r="E132" s="271"/>
      <c r="F132" s="271"/>
      <c r="G132" s="271"/>
      <c r="H132" s="271"/>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2744.2792610048459</v>
      </c>
    </row>
    <row r="135" spans="1:8" ht="15.75" x14ac:dyDescent="0.25">
      <c r="A135" s="108" t="s">
        <v>7</v>
      </c>
      <c r="B135" s="109" t="s">
        <v>152</v>
      </c>
      <c r="C135" s="109"/>
      <c r="D135" s="109"/>
      <c r="E135" s="13"/>
      <c r="F135" s="13"/>
      <c r="G135" s="13"/>
      <c r="H135" s="107">
        <f>H130</f>
        <v>35675.630393062995</v>
      </c>
    </row>
    <row r="136" spans="1:8" ht="15.75" x14ac:dyDescent="0.25">
      <c r="A136" s="108" t="s">
        <v>17</v>
      </c>
      <c r="B136" s="7" t="s">
        <v>153</v>
      </c>
      <c r="C136" s="7"/>
      <c r="D136" s="109"/>
      <c r="E136" s="13"/>
      <c r="F136" s="13"/>
      <c r="G136" s="166">
        <v>12</v>
      </c>
      <c r="H136" s="107">
        <f>SUM(H135*G136)</f>
        <v>428107.56471675594</v>
      </c>
    </row>
    <row r="137" spans="1:8" ht="15.75" x14ac:dyDescent="0.25">
      <c r="A137" s="6"/>
      <c r="B137" s="6"/>
      <c r="C137" s="6"/>
      <c r="D137" s="6"/>
      <c r="E137" s="6"/>
      <c r="F137" s="6"/>
      <c r="G137" s="6"/>
      <c r="H137" s="6"/>
    </row>
    <row r="139" spans="1:8" x14ac:dyDescent="0.25">
      <c r="A139" s="150" t="s">
        <v>203</v>
      </c>
      <c r="B139" s="150"/>
    </row>
    <row r="140" spans="1:8" x14ac:dyDescent="0.25">
      <c r="A140" s="150" t="s">
        <v>204</v>
      </c>
      <c r="B140" s="150"/>
    </row>
    <row r="141" spans="1:8" x14ac:dyDescent="0.25">
      <c r="A141" s="150" t="s">
        <v>254</v>
      </c>
      <c r="B141" s="150"/>
    </row>
    <row r="142" spans="1:8" x14ac:dyDescent="0.25">
      <c r="A142" s="150"/>
      <c r="B142" s="150"/>
    </row>
    <row r="143" spans="1:8" x14ac:dyDescent="0.25">
      <c r="A143" s="150" t="s">
        <v>206</v>
      </c>
      <c r="B143" s="150"/>
    </row>
    <row r="145" spans="1:6" x14ac:dyDescent="0.25">
      <c r="A145" t="s">
        <v>207</v>
      </c>
    </row>
    <row r="146" spans="1:6" x14ac:dyDescent="0.25">
      <c r="A146" s="150" t="s">
        <v>208</v>
      </c>
    </row>
    <row r="147" spans="1:6" x14ac:dyDescent="0.25">
      <c r="A147" s="150" t="s">
        <v>209</v>
      </c>
    </row>
    <row r="148" spans="1:6" x14ac:dyDescent="0.25">
      <c r="A148" s="150"/>
    </row>
    <row r="149" spans="1:6" x14ac:dyDescent="0.25">
      <c r="A149" s="150" t="s">
        <v>210</v>
      </c>
    </row>
    <row r="150" spans="1:6" x14ac:dyDescent="0.25">
      <c r="A150" s="150"/>
    </row>
    <row r="151" spans="1:6" x14ac:dyDescent="0.25">
      <c r="A151" s="150" t="s">
        <v>211</v>
      </c>
    </row>
    <row r="152" spans="1:6" x14ac:dyDescent="0.25">
      <c r="A152" s="150"/>
    </row>
    <row r="153" spans="1:6" x14ac:dyDescent="0.25">
      <c r="A153" s="150"/>
    </row>
    <row r="154" spans="1:6" x14ac:dyDescent="0.25">
      <c r="A154" s="150" t="s">
        <v>206</v>
      </c>
    </row>
    <row r="155" spans="1:6" x14ac:dyDescent="0.25">
      <c r="A155" s="150" t="s">
        <v>222</v>
      </c>
    </row>
    <row r="156" spans="1:6" x14ac:dyDescent="0.25">
      <c r="B156" s="151" t="s">
        <v>213</v>
      </c>
      <c r="C156" s="152"/>
      <c r="D156" s="152"/>
      <c r="E156" s="152"/>
      <c r="F156" s="152"/>
    </row>
    <row r="157" spans="1:6" x14ac:dyDescent="0.25">
      <c r="B157" s="151"/>
      <c r="C157" s="152"/>
      <c r="D157" s="152"/>
      <c r="E157" s="152"/>
      <c r="F157" s="152"/>
    </row>
    <row r="158" spans="1:6" x14ac:dyDescent="0.25">
      <c r="B158" s="151" t="s">
        <v>214</v>
      </c>
      <c r="C158" s="152" t="s">
        <v>215</v>
      </c>
      <c r="D158" s="152" t="s">
        <v>216</v>
      </c>
      <c r="E158" s="152" t="s">
        <v>217</v>
      </c>
      <c r="F158" s="152" t="s">
        <v>218</v>
      </c>
    </row>
    <row r="159" spans="1:6" x14ac:dyDescent="0.25">
      <c r="B159" s="151" t="s">
        <v>219</v>
      </c>
      <c r="C159" s="153">
        <v>1.6500000000000001E-2</v>
      </c>
      <c r="D159" s="153">
        <v>7.5999999999999998E-2</v>
      </c>
      <c r="E159" s="154">
        <v>0.05</v>
      </c>
      <c r="F159" s="152">
        <v>0.85750000000000004</v>
      </c>
    </row>
    <row r="160" spans="1:6" x14ac:dyDescent="0.25">
      <c r="B160" s="151" t="s">
        <v>220</v>
      </c>
      <c r="C160" s="153">
        <v>6.4999999999999997E-3</v>
      </c>
      <c r="D160" s="154">
        <v>0.03</v>
      </c>
      <c r="E160" s="154">
        <v>0.05</v>
      </c>
      <c r="F160" s="152">
        <v>0.91349999999999998</v>
      </c>
    </row>
    <row r="161" spans="1:6" x14ac:dyDescent="0.25">
      <c r="B161" s="151" t="s">
        <v>221</v>
      </c>
      <c r="C161" s="153">
        <v>4.4000000000000003E-3</v>
      </c>
      <c r="D161" s="153">
        <v>2.35E-2</v>
      </c>
      <c r="E161" s="154">
        <v>0.05</v>
      </c>
      <c r="F161" s="152">
        <v>0.92210000000000003</v>
      </c>
    </row>
    <row r="163" spans="1:6" x14ac:dyDescent="0.25">
      <c r="A163" s="156" t="s">
        <v>224</v>
      </c>
    </row>
  </sheetData>
  <mergeCells count="51">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0">
      <formula1>$K$28:$K$31</formula1>
      <formula2>0</formula2>
    </dataValidation>
    <dataValidation type="list" operator="equal" allowBlank="1" showErrorMessage="1" sqref="D30">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paperSize="9" scale="45" orientation="portrait"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4"/>
  <sheetViews>
    <sheetView topLeftCell="A4" zoomScale="90" zoomScaleNormal="90" workbookViewId="0">
      <selection activeCell="H115" sqref="H115"/>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17.1406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c r="E2" s="3"/>
      <c r="F2" s="3" t="s">
        <v>2</v>
      </c>
      <c r="G2" s="3"/>
      <c r="H2" s="5"/>
    </row>
    <row r="3" spans="1:8" ht="15.75" x14ac:dyDescent="0.25">
      <c r="A3" s="273" t="s">
        <v>3</v>
      </c>
      <c r="B3" s="273"/>
      <c r="C3" s="273"/>
      <c r="D3" s="273"/>
      <c r="E3" s="273"/>
      <c r="F3" s="273"/>
      <c r="G3" s="273"/>
      <c r="H3" s="273"/>
    </row>
    <row r="4" spans="1:8" ht="15.75" x14ac:dyDescent="0.25">
      <c r="A4" s="6" t="s">
        <v>4</v>
      </c>
      <c r="B4" s="7" t="s">
        <v>5</v>
      </c>
      <c r="C4" s="7"/>
      <c r="D4" s="8"/>
      <c r="E4" s="291" t="s">
        <v>6</v>
      </c>
      <c r="F4" s="291"/>
      <c r="G4" s="291"/>
      <c r="H4" s="291"/>
    </row>
    <row r="5" spans="1:8" ht="15.75" x14ac:dyDescent="0.25">
      <c r="A5" s="6" t="s">
        <v>7</v>
      </c>
      <c r="B5" s="7" t="s">
        <v>8</v>
      </c>
      <c r="C5" s="7"/>
      <c r="D5" s="9"/>
      <c r="E5" s="291"/>
      <c r="F5" s="291"/>
      <c r="G5" s="291"/>
      <c r="H5" s="291"/>
    </row>
    <row r="6" spans="1:8" ht="15.75" x14ac:dyDescent="0.25">
      <c r="A6" s="6" t="s">
        <v>9</v>
      </c>
      <c r="B6" s="7" t="s">
        <v>10</v>
      </c>
      <c r="C6" s="7"/>
      <c r="D6" s="10"/>
      <c r="E6" s="291"/>
      <c r="F6" s="291"/>
      <c r="G6" s="291"/>
      <c r="H6" s="291"/>
    </row>
    <row r="7" spans="1:8" ht="15.75" x14ac:dyDescent="0.25">
      <c r="A7" s="292"/>
      <c r="B7" s="292"/>
      <c r="C7" s="292"/>
      <c r="D7" s="292"/>
      <c r="E7" s="11"/>
      <c r="F7" s="11"/>
      <c r="G7" s="11"/>
      <c r="H7" s="11"/>
    </row>
    <row r="8" spans="1:8" ht="15.75" x14ac:dyDescent="0.25">
      <c r="A8" s="273" t="s">
        <v>12</v>
      </c>
      <c r="B8" s="273"/>
      <c r="C8" s="273"/>
      <c r="D8" s="273"/>
      <c r="E8" s="273"/>
      <c r="F8" s="273"/>
      <c r="G8" s="273"/>
      <c r="H8" s="273"/>
    </row>
    <row r="9" spans="1:8" x14ac:dyDescent="0.25">
      <c r="A9" s="12" t="s">
        <v>4</v>
      </c>
      <c r="B9" s="13" t="s">
        <v>13</v>
      </c>
      <c r="C9" s="13"/>
      <c r="D9" s="296">
        <v>44301</v>
      </c>
      <c r="E9" s="285"/>
      <c r="F9" s="285"/>
      <c r="G9" s="285"/>
      <c r="H9" s="285"/>
    </row>
    <row r="10" spans="1:8" x14ac:dyDescent="0.25">
      <c r="A10" s="12" t="s">
        <v>7</v>
      </c>
      <c r="B10" s="13" t="s">
        <v>15</v>
      </c>
      <c r="C10" s="13"/>
      <c r="D10" s="293" t="s">
        <v>185</v>
      </c>
      <c r="E10" s="293"/>
      <c r="F10" s="293"/>
      <c r="G10" s="293"/>
      <c r="H10" s="293"/>
    </row>
    <row r="11" spans="1:8" x14ac:dyDescent="0.25">
      <c r="A11" s="12" t="s">
        <v>9</v>
      </c>
      <c r="B11" s="13" t="s">
        <v>16</v>
      </c>
      <c r="C11" s="13"/>
      <c r="D11" s="293" t="s">
        <v>264</v>
      </c>
      <c r="E11" s="293"/>
      <c r="F11" s="293"/>
      <c r="G11" s="293"/>
      <c r="H11" s="293"/>
    </row>
    <row r="12" spans="1:8" x14ac:dyDescent="0.25">
      <c r="A12" s="12" t="s">
        <v>17</v>
      </c>
      <c r="B12" s="13" t="s">
        <v>18</v>
      </c>
      <c r="C12" s="13"/>
      <c r="D12" s="293">
        <v>12</v>
      </c>
      <c r="E12" s="293"/>
      <c r="F12" s="293"/>
      <c r="G12" s="293"/>
      <c r="H12" s="293"/>
    </row>
    <row r="13" spans="1:8" x14ac:dyDescent="0.25">
      <c r="A13" s="12"/>
      <c r="B13" s="13"/>
      <c r="C13" s="13"/>
      <c r="D13" s="14"/>
      <c r="E13" s="14"/>
      <c r="F13" s="14"/>
      <c r="G13" s="14"/>
      <c r="H13" s="15"/>
    </row>
    <row r="14" spans="1:8" ht="15.75" x14ac:dyDescent="0.25">
      <c r="A14" s="273" t="s">
        <v>19</v>
      </c>
      <c r="B14" s="273"/>
      <c r="C14" s="273"/>
      <c r="D14" s="273"/>
      <c r="E14" s="273"/>
      <c r="F14" s="273"/>
      <c r="G14" s="273"/>
      <c r="H14" s="273"/>
    </row>
    <row r="15" spans="1:8" ht="15.75" x14ac:dyDescent="0.25">
      <c r="A15" s="12"/>
      <c r="B15" s="16" t="s">
        <v>20</v>
      </c>
      <c r="C15" s="16"/>
      <c r="D15" s="17" t="s">
        <v>21</v>
      </c>
      <c r="E15" s="294" t="s">
        <v>22</v>
      </c>
      <c r="F15" s="294"/>
      <c r="G15" s="294"/>
      <c r="H15" s="294"/>
    </row>
    <row r="16" spans="1:8" x14ac:dyDescent="0.25">
      <c r="A16" s="12" t="s">
        <v>4</v>
      </c>
      <c r="B16" s="18" t="s">
        <v>180</v>
      </c>
      <c r="C16" s="19"/>
      <c r="D16" s="20" t="s">
        <v>23</v>
      </c>
      <c r="E16" s="295">
        <v>1</v>
      </c>
      <c r="F16" s="295"/>
      <c r="G16" s="295"/>
      <c r="H16" s="295"/>
    </row>
    <row r="17" spans="1:8" x14ac:dyDescent="0.25">
      <c r="A17" s="12" t="s">
        <v>7</v>
      </c>
      <c r="B17" s="13"/>
      <c r="C17" s="13"/>
      <c r="D17" s="21"/>
      <c r="E17" s="283"/>
      <c r="F17" s="283"/>
      <c r="G17" s="283"/>
      <c r="H17" s="283"/>
    </row>
    <row r="18" spans="1:8" x14ac:dyDescent="0.25">
      <c r="A18" s="12" t="s">
        <v>9</v>
      </c>
      <c r="B18" s="13"/>
      <c r="C18" s="13"/>
      <c r="D18" s="21"/>
      <c r="E18" s="283"/>
      <c r="F18" s="283"/>
      <c r="G18" s="283"/>
      <c r="H18" s="283"/>
    </row>
    <row r="19" spans="1:8" ht="15.75" x14ac:dyDescent="0.25">
      <c r="A19" s="110"/>
      <c r="B19" s="273" t="s">
        <v>24</v>
      </c>
      <c r="C19" s="273"/>
      <c r="D19" s="273"/>
      <c r="E19" s="273"/>
      <c r="F19" s="273"/>
      <c r="G19" s="273"/>
      <c r="H19" s="273"/>
    </row>
    <row r="20" spans="1:8" ht="15.75" x14ac:dyDescent="0.25">
      <c r="A20" s="284" t="s">
        <v>25</v>
      </c>
      <c r="B20" s="284"/>
      <c r="C20" s="284"/>
      <c r="D20" s="284"/>
      <c r="E20" s="284"/>
      <c r="F20" s="284"/>
      <c r="G20" s="284"/>
      <c r="H20" s="284"/>
    </row>
    <row r="21" spans="1:8" x14ac:dyDescent="0.25">
      <c r="A21" s="12">
        <v>1</v>
      </c>
      <c r="B21" s="13" t="s">
        <v>20</v>
      </c>
      <c r="C21" s="13"/>
      <c r="D21" s="285" t="s">
        <v>179</v>
      </c>
      <c r="E21" s="285"/>
      <c r="F21" s="285"/>
      <c r="G21" s="285"/>
      <c r="H21" s="285"/>
    </row>
    <row r="22" spans="1:8" x14ac:dyDescent="0.25">
      <c r="A22" s="12">
        <v>2</v>
      </c>
      <c r="B22" s="13" t="s">
        <v>26</v>
      </c>
      <c r="C22" s="13"/>
      <c r="D22" s="286" t="s">
        <v>241</v>
      </c>
      <c r="E22" s="286"/>
      <c r="F22" s="286"/>
      <c r="G22" s="286"/>
      <c r="H22" s="286"/>
    </row>
    <row r="23" spans="1:8" x14ac:dyDescent="0.25">
      <c r="A23" s="12">
        <v>3</v>
      </c>
      <c r="B23" s="13" t="s">
        <v>27</v>
      </c>
      <c r="C23" s="13"/>
      <c r="D23" s="22">
        <v>1164.01</v>
      </c>
      <c r="E23" s="23"/>
      <c r="F23" s="23"/>
      <c r="G23" s="23"/>
      <c r="H23" s="23"/>
    </row>
    <row r="24" spans="1:8" ht="30" x14ac:dyDescent="0.25">
      <c r="A24" s="1">
        <v>4</v>
      </c>
      <c r="B24" s="24" t="s">
        <v>28</v>
      </c>
      <c r="C24" s="24"/>
      <c r="D24" s="287" t="s">
        <v>266</v>
      </c>
      <c r="E24" s="287"/>
      <c r="F24" s="287"/>
      <c r="G24" s="287"/>
      <c r="H24" s="287"/>
    </row>
    <row r="25" spans="1:8" x14ac:dyDescent="0.25">
      <c r="A25" s="1">
        <v>5</v>
      </c>
      <c r="B25" s="25" t="s">
        <v>29</v>
      </c>
      <c r="C25" s="25"/>
      <c r="D25" s="288" t="s">
        <v>265</v>
      </c>
      <c r="E25" s="288"/>
      <c r="F25" s="288"/>
      <c r="G25" s="288"/>
      <c r="H25" s="288"/>
    </row>
    <row r="26" spans="1:8" ht="15.75" x14ac:dyDescent="0.25">
      <c r="A26" s="189">
        <v>1</v>
      </c>
      <c r="B26" s="297" t="s">
        <v>30</v>
      </c>
      <c r="C26" s="297"/>
      <c r="D26" s="297"/>
      <c r="E26" s="297"/>
      <c r="F26" s="297"/>
      <c r="G26" s="297"/>
      <c r="H26" s="297"/>
    </row>
    <row r="27" spans="1:8" ht="15.75" x14ac:dyDescent="0.25">
      <c r="A27" s="175" t="s">
        <v>4</v>
      </c>
      <c r="B27" s="177" t="s">
        <v>31</v>
      </c>
      <c r="C27" s="177"/>
      <c r="D27" s="177"/>
      <c r="E27" s="206"/>
      <c r="F27" s="206"/>
      <c r="G27" s="178"/>
      <c r="H27" s="244">
        <f>D23</f>
        <v>1164.01</v>
      </c>
    </row>
    <row r="28" spans="1:8" ht="15.75" x14ac:dyDescent="0.25">
      <c r="A28" s="175" t="s">
        <v>7</v>
      </c>
      <c r="B28" s="177" t="s">
        <v>32</v>
      </c>
      <c r="C28" s="177"/>
      <c r="D28" s="245" t="s">
        <v>33</v>
      </c>
      <c r="E28" s="246">
        <v>0</v>
      </c>
      <c r="F28" s="206"/>
      <c r="G28" s="206"/>
      <c r="H28" s="247">
        <f>H27*E28</f>
        <v>0</v>
      </c>
    </row>
    <row r="29" spans="1:8" ht="30.75" x14ac:dyDescent="0.25">
      <c r="A29" s="190" t="s">
        <v>9</v>
      </c>
      <c r="B29" s="254" t="s">
        <v>240</v>
      </c>
      <c r="C29" s="255"/>
      <c r="D29" s="256" t="s">
        <v>35</v>
      </c>
      <c r="E29" s="257" t="s">
        <v>36</v>
      </c>
      <c r="F29" s="256" t="s">
        <v>269</v>
      </c>
      <c r="G29" s="258"/>
      <c r="H29" s="259">
        <f>40%*F30</f>
        <v>457.67200000000003</v>
      </c>
    </row>
    <row r="30" spans="1:8" ht="15.75" x14ac:dyDescent="0.25">
      <c r="A30" s="175" t="s">
        <v>17</v>
      </c>
      <c r="B30" s="177" t="s">
        <v>38</v>
      </c>
      <c r="C30" s="177"/>
      <c r="D30" s="245" t="s">
        <v>39</v>
      </c>
      <c r="E30" s="250">
        <v>0</v>
      </c>
      <c r="F30" s="251">
        <v>1144.18</v>
      </c>
      <c r="G30" s="177"/>
      <c r="H30" s="252"/>
    </row>
    <row r="31" spans="1:8" ht="15.75" x14ac:dyDescent="0.25">
      <c r="A31" s="175" t="s">
        <v>40</v>
      </c>
      <c r="B31" s="177" t="s">
        <v>41</v>
      </c>
      <c r="C31" s="177"/>
      <c r="D31" s="206"/>
      <c r="E31" s="206"/>
      <c r="F31" s="206"/>
      <c r="G31" s="199"/>
      <c r="H31" s="252"/>
    </row>
    <row r="32" spans="1:8" ht="15.75" x14ac:dyDescent="0.25">
      <c r="A32" s="175" t="s">
        <v>42</v>
      </c>
      <c r="B32" s="177" t="s">
        <v>159</v>
      </c>
      <c r="C32" s="177"/>
      <c r="D32" s="206"/>
      <c r="E32" s="206"/>
      <c r="F32" s="206"/>
      <c r="G32" s="199"/>
      <c r="H32" s="252"/>
    </row>
    <row r="33" spans="1:9" ht="15.75" x14ac:dyDescent="0.25">
      <c r="A33" s="175" t="s">
        <v>61</v>
      </c>
      <c r="B33" s="177" t="s">
        <v>155</v>
      </c>
      <c r="C33" s="177"/>
      <c r="D33" s="206"/>
      <c r="E33" s="206"/>
      <c r="F33" s="206"/>
      <c r="G33" s="199"/>
      <c r="H33" s="252"/>
    </row>
    <row r="34" spans="1:9" ht="15.75" x14ac:dyDescent="0.25">
      <c r="A34" s="175" t="s">
        <v>43</v>
      </c>
      <c r="B34" s="176" t="s">
        <v>160</v>
      </c>
      <c r="C34" s="176"/>
      <c r="D34" s="206"/>
      <c r="E34" s="206"/>
      <c r="F34" s="206"/>
      <c r="G34" s="199"/>
      <c r="H34" s="252"/>
    </row>
    <row r="35" spans="1:9" ht="15.75" x14ac:dyDescent="0.25">
      <c r="A35" s="175" t="s">
        <v>161</v>
      </c>
      <c r="B35" s="176" t="s">
        <v>162</v>
      </c>
      <c r="C35" s="176"/>
      <c r="D35" s="206"/>
      <c r="E35" s="206"/>
      <c r="F35" s="206"/>
      <c r="G35" s="199"/>
      <c r="H35" s="252"/>
    </row>
    <row r="36" spans="1:9" ht="15.75" x14ac:dyDescent="0.25">
      <c r="A36" s="175" t="s">
        <v>19</v>
      </c>
      <c r="B36" s="177" t="s">
        <v>44</v>
      </c>
      <c r="C36" s="177"/>
      <c r="D36" s="177"/>
      <c r="E36" s="177"/>
      <c r="F36" s="199"/>
      <c r="G36" s="199"/>
      <c r="H36" s="199">
        <v>0</v>
      </c>
    </row>
    <row r="37" spans="1:9" ht="15.75" x14ac:dyDescent="0.25">
      <c r="A37" s="39"/>
      <c r="B37" s="40" t="s">
        <v>45</v>
      </c>
      <c r="C37" s="40"/>
      <c r="D37" s="41"/>
      <c r="E37" s="41"/>
      <c r="F37" s="42"/>
      <c r="G37" s="42"/>
      <c r="H37" s="43">
        <f>SUM(H27:H36)</f>
        <v>1621.682</v>
      </c>
    </row>
    <row r="38" spans="1:9" ht="15.75" x14ac:dyDescent="0.25">
      <c r="A38" s="173">
        <v>2</v>
      </c>
      <c r="B38" s="302" t="s">
        <v>46</v>
      </c>
      <c r="C38" s="302"/>
      <c r="D38" s="302"/>
      <c r="E38" s="302"/>
      <c r="F38" s="302"/>
      <c r="G38" s="302"/>
      <c r="H38" s="302"/>
    </row>
    <row r="39" spans="1:9" ht="15.75" x14ac:dyDescent="0.25">
      <c r="A39" s="174" t="s">
        <v>47</v>
      </c>
      <c r="B39" s="303" t="s">
        <v>48</v>
      </c>
      <c r="C39" s="303"/>
      <c r="D39" s="303"/>
      <c r="E39" s="303"/>
      <c r="F39" s="303"/>
      <c r="G39" s="303"/>
      <c r="H39" s="303"/>
    </row>
    <row r="40" spans="1:9" ht="15.75" x14ac:dyDescent="0.25">
      <c r="A40" s="175" t="s">
        <v>4</v>
      </c>
      <c r="B40" s="176" t="s">
        <v>49</v>
      </c>
      <c r="C40" s="176"/>
      <c r="D40" s="176"/>
      <c r="E40" s="177"/>
      <c r="F40" s="178"/>
      <c r="G40" s="179">
        <v>8.3299999999999999E-2</v>
      </c>
      <c r="H40" s="178">
        <f>SUM($H$37*G40)</f>
        <v>135.08611060000001</v>
      </c>
    </row>
    <row r="41" spans="1:9" ht="15.75" x14ac:dyDescent="0.25">
      <c r="A41" s="175" t="s">
        <v>7</v>
      </c>
      <c r="B41" s="177" t="s">
        <v>50</v>
      </c>
      <c r="C41" s="177"/>
      <c r="D41" s="177"/>
      <c r="E41" s="177"/>
      <c r="F41" s="180"/>
      <c r="G41" s="181">
        <v>0.121</v>
      </c>
      <c r="H41" s="178">
        <f>SUM($H$37*G41)</f>
        <v>196.223522</v>
      </c>
    </row>
    <row r="42" spans="1:9" ht="15.75" x14ac:dyDescent="0.25">
      <c r="A42" s="1" t="s">
        <v>9</v>
      </c>
      <c r="B42" s="48" t="s">
        <v>51</v>
      </c>
      <c r="C42" s="182"/>
      <c r="D42" s="177"/>
      <c r="E42" s="177"/>
      <c r="F42" s="180"/>
      <c r="G42" s="181">
        <f>SUM(G40:G41)*G53</f>
        <v>7.518240000000001E-2</v>
      </c>
      <c r="H42" s="178">
        <f>SUM($H$37*G42)</f>
        <v>121.92194479680002</v>
      </c>
    </row>
    <row r="43" spans="1:9" ht="15.75" x14ac:dyDescent="0.25">
      <c r="A43" s="183"/>
      <c r="B43" s="184" t="s">
        <v>45</v>
      </c>
      <c r="C43" s="185"/>
      <c r="D43" s="186"/>
      <c r="E43" s="186"/>
      <c r="F43" s="187"/>
      <c r="G43" s="187"/>
      <c r="H43" s="188">
        <f>SUM(H40:H42)</f>
        <v>453.23157739679999</v>
      </c>
    </row>
    <row r="44" spans="1:9" ht="15.75" x14ac:dyDescent="0.25">
      <c r="A44" s="189" t="s">
        <v>52</v>
      </c>
      <c r="B44" s="297" t="s">
        <v>53</v>
      </c>
      <c r="C44" s="297"/>
      <c r="D44" s="297"/>
      <c r="E44" s="297"/>
      <c r="F44" s="297"/>
      <c r="G44" s="297"/>
      <c r="H44" s="297"/>
    </row>
    <row r="45" spans="1:9" ht="15.75" x14ac:dyDescent="0.25">
      <c r="A45" s="175" t="s">
        <v>4</v>
      </c>
      <c r="B45" s="182" t="s">
        <v>54</v>
      </c>
      <c r="C45" s="182"/>
      <c r="D45" s="177"/>
      <c r="E45" s="177"/>
      <c r="F45" s="178"/>
      <c r="G45" s="179">
        <v>0.2</v>
      </c>
      <c r="H45" s="178">
        <f t="shared" ref="H45:H52" si="0">SUM($H$37*G45)</f>
        <v>324.33640000000003</v>
      </c>
    </row>
    <row r="46" spans="1:9" ht="15.75" x14ac:dyDescent="0.25">
      <c r="A46" s="175" t="s">
        <v>7</v>
      </c>
      <c r="B46" s="182" t="s">
        <v>55</v>
      </c>
      <c r="C46" s="182"/>
      <c r="D46" s="301" t="s">
        <v>56</v>
      </c>
      <c r="E46" s="301"/>
      <c r="F46" s="178"/>
      <c r="G46" s="163">
        <v>1.4999999999999999E-2</v>
      </c>
      <c r="H46" s="178">
        <f t="shared" si="0"/>
        <v>24.325229999999998</v>
      </c>
    </row>
    <row r="47" spans="1:9" ht="15.75" x14ac:dyDescent="0.25">
      <c r="A47" s="175" t="s">
        <v>9</v>
      </c>
      <c r="B47" s="182" t="s">
        <v>57</v>
      </c>
      <c r="C47" s="182"/>
      <c r="D47" s="301"/>
      <c r="E47" s="301"/>
      <c r="F47" s="178"/>
      <c r="G47" s="163">
        <v>0.01</v>
      </c>
      <c r="H47" s="178">
        <f t="shared" si="0"/>
        <v>16.216820000000002</v>
      </c>
      <c r="I47" s="115"/>
    </row>
    <row r="48" spans="1:9" ht="15.75" x14ac:dyDescent="0.25">
      <c r="A48" s="175" t="s">
        <v>17</v>
      </c>
      <c r="B48" s="182" t="s">
        <v>58</v>
      </c>
      <c r="C48" s="182"/>
      <c r="D48" s="177"/>
      <c r="E48" s="177"/>
      <c r="F48" s="178"/>
      <c r="G48" s="163">
        <v>2E-3</v>
      </c>
      <c r="H48" s="178">
        <f t="shared" si="0"/>
        <v>3.2433640000000001</v>
      </c>
    </row>
    <row r="49" spans="1:9" ht="15.75" x14ac:dyDescent="0.25">
      <c r="A49" s="175" t="s">
        <v>40</v>
      </c>
      <c r="B49" s="182" t="s">
        <v>59</v>
      </c>
      <c r="C49" s="182"/>
      <c r="D49" s="177"/>
      <c r="E49" s="177"/>
      <c r="F49" s="178"/>
      <c r="G49" s="163">
        <v>2.5000000000000001E-2</v>
      </c>
      <c r="H49" s="178">
        <f t="shared" si="0"/>
        <v>40.542050000000003</v>
      </c>
    </row>
    <row r="50" spans="1:9" ht="15.75" x14ac:dyDescent="0.25">
      <c r="A50" s="175" t="s">
        <v>42</v>
      </c>
      <c r="B50" s="182" t="s">
        <v>60</v>
      </c>
      <c r="C50" s="182"/>
      <c r="D50" s="177"/>
      <c r="E50" s="177"/>
      <c r="F50" s="178"/>
      <c r="G50" s="179">
        <v>0.08</v>
      </c>
      <c r="H50" s="178">
        <f t="shared" si="0"/>
        <v>129.73456000000002</v>
      </c>
    </row>
    <row r="51" spans="1:9" ht="15.75" x14ac:dyDescent="0.25">
      <c r="A51" s="190" t="s">
        <v>61</v>
      </c>
      <c r="B51" s="191" t="s">
        <v>62</v>
      </c>
      <c r="C51" s="191"/>
      <c r="D51" s="192"/>
      <c r="E51" s="192"/>
      <c r="F51" s="192"/>
      <c r="G51" s="164">
        <v>0.03</v>
      </c>
      <c r="H51" s="193">
        <f t="shared" si="0"/>
        <v>48.650459999999995</v>
      </c>
    </row>
    <row r="52" spans="1:9" ht="15.75" x14ac:dyDescent="0.25">
      <c r="A52" s="175" t="s">
        <v>43</v>
      </c>
      <c r="B52" s="182" t="s">
        <v>63</v>
      </c>
      <c r="C52" s="182"/>
      <c r="D52" s="177"/>
      <c r="E52" s="177"/>
      <c r="F52" s="178"/>
      <c r="G52" s="163">
        <v>6.0000000000000001E-3</v>
      </c>
      <c r="H52" s="178">
        <f t="shared" si="0"/>
        <v>9.7300920000000009</v>
      </c>
    </row>
    <row r="53" spans="1:9" ht="15.75" x14ac:dyDescent="0.25">
      <c r="A53" s="184"/>
      <c r="B53" s="185" t="s">
        <v>45</v>
      </c>
      <c r="C53" s="185"/>
      <c r="D53" s="185"/>
      <c r="E53" s="185"/>
      <c r="F53" s="194"/>
      <c r="G53" s="195">
        <f>SUM(G45:G52)</f>
        <v>0.3680000000000001</v>
      </c>
      <c r="H53" s="196">
        <f>SUM(H45:H52)</f>
        <v>596.77897599999994</v>
      </c>
      <c r="I53" s="121"/>
    </row>
    <row r="54" spans="1:9" ht="15.75" x14ac:dyDescent="0.25">
      <c r="A54" s="189" t="s">
        <v>64</v>
      </c>
      <c r="B54" s="297" t="s">
        <v>65</v>
      </c>
      <c r="C54" s="297"/>
      <c r="D54" s="297"/>
      <c r="E54" s="297"/>
      <c r="F54" s="297"/>
      <c r="G54" s="297"/>
      <c r="H54" s="297"/>
    </row>
    <row r="55" spans="1:9" ht="15.75" x14ac:dyDescent="0.25">
      <c r="A55" s="177" t="s">
        <v>66</v>
      </c>
      <c r="B55" s="197"/>
      <c r="C55" s="197"/>
      <c r="D55" s="198" t="s">
        <v>67</v>
      </c>
      <c r="E55" s="198" t="s">
        <v>68</v>
      </c>
      <c r="F55" s="198" t="s">
        <v>69</v>
      </c>
      <c r="G55" s="198" t="s">
        <v>70</v>
      </c>
      <c r="H55" s="177"/>
      <c r="I55" t="s">
        <v>256</v>
      </c>
    </row>
    <row r="56" spans="1:9" ht="15.75" x14ac:dyDescent="0.25">
      <c r="A56" s="304" t="s">
        <v>4</v>
      </c>
      <c r="B56" s="177" t="s">
        <v>71</v>
      </c>
      <c r="C56" s="177"/>
      <c r="D56" s="298"/>
      <c r="E56" s="299"/>
      <c r="F56" s="300"/>
      <c r="G56" s="305"/>
      <c r="H56" s="199">
        <f>F56*E56*D56</f>
        <v>0</v>
      </c>
    </row>
    <row r="57" spans="1:9" ht="15.75" x14ac:dyDescent="0.25">
      <c r="A57" s="304"/>
      <c r="B57" s="177" t="s">
        <v>72</v>
      </c>
      <c r="C57" s="177"/>
      <c r="D57" s="298"/>
      <c r="E57" s="298"/>
      <c r="F57" s="298"/>
      <c r="G57" s="298"/>
      <c r="H57" s="199">
        <f>H27*G56</f>
        <v>0</v>
      </c>
    </row>
    <row r="58" spans="1:9" ht="15.75" x14ac:dyDescent="0.25">
      <c r="A58" s="304"/>
      <c r="B58" s="176" t="s">
        <v>73</v>
      </c>
      <c r="C58" s="176"/>
      <c r="D58" s="176"/>
      <c r="E58" s="177"/>
      <c r="F58" s="177"/>
      <c r="G58" s="200"/>
      <c r="H58" s="199">
        <f>H56-H57</f>
        <v>0</v>
      </c>
    </row>
    <row r="59" spans="1:9" ht="15.75" x14ac:dyDescent="0.25">
      <c r="A59" s="304" t="s">
        <v>7</v>
      </c>
      <c r="B59" s="177" t="s">
        <v>74</v>
      </c>
      <c r="C59" s="177"/>
      <c r="D59" s="298">
        <v>1</v>
      </c>
      <c r="E59" s="299">
        <v>1</v>
      </c>
      <c r="F59" s="300">
        <v>0</v>
      </c>
      <c r="G59" s="305">
        <v>0.2</v>
      </c>
      <c r="H59" s="199">
        <f>F59*E59*D59</f>
        <v>0</v>
      </c>
    </row>
    <row r="60" spans="1:9" ht="15.75" x14ac:dyDescent="0.25">
      <c r="A60" s="304"/>
      <c r="B60" s="177" t="s">
        <v>72</v>
      </c>
      <c r="C60" s="177"/>
      <c r="D60" s="298"/>
      <c r="E60" s="298"/>
      <c r="F60" s="298"/>
      <c r="G60" s="298"/>
      <c r="H60" s="199">
        <f>H59*G59</f>
        <v>0</v>
      </c>
    </row>
    <row r="61" spans="1:9" ht="15.75" x14ac:dyDescent="0.25">
      <c r="A61" s="304"/>
      <c r="B61" s="306" t="s">
        <v>75</v>
      </c>
      <c r="C61" s="306"/>
      <c r="D61" s="306"/>
      <c r="E61" s="306"/>
      <c r="F61" s="201"/>
      <c r="G61" s="201"/>
      <c r="H61" s="199">
        <f>H59-H60</f>
        <v>0</v>
      </c>
    </row>
    <row r="62" spans="1:9" ht="15.75" x14ac:dyDescent="0.25">
      <c r="A62" s="202" t="s">
        <v>9</v>
      </c>
      <c r="B62" s="306" t="s">
        <v>267</v>
      </c>
      <c r="C62" s="306"/>
      <c r="D62" s="306"/>
      <c r="E62" s="306"/>
      <c r="F62" s="201"/>
      <c r="G62" s="201"/>
      <c r="H62" s="199">
        <v>100</v>
      </c>
    </row>
    <row r="63" spans="1:9" ht="15.75" x14ac:dyDescent="0.25">
      <c r="A63" s="202" t="s">
        <v>17</v>
      </c>
      <c r="B63" s="203" t="s">
        <v>250</v>
      </c>
      <c r="C63" s="203"/>
      <c r="D63" s="203"/>
      <c r="E63" s="203" t="s">
        <v>163</v>
      </c>
      <c r="F63" s="201"/>
      <c r="G63" s="201"/>
      <c r="H63" s="199">
        <v>11</v>
      </c>
    </row>
    <row r="64" spans="1:9" ht="15.75" x14ac:dyDescent="0.25">
      <c r="A64" s="202" t="s">
        <v>40</v>
      </c>
      <c r="B64" s="204" t="s">
        <v>223</v>
      </c>
      <c r="C64" s="203"/>
      <c r="D64" s="203"/>
      <c r="E64" s="203"/>
      <c r="F64" s="201"/>
      <c r="G64" s="201"/>
      <c r="H64" s="199">
        <v>4.0599999999999996</v>
      </c>
    </row>
    <row r="65" spans="1:13" ht="15.75" x14ac:dyDescent="0.25">
      <c r="A65" s="202" t="s">
        <v>42</v>
      </c>
      <c r="B65" s="204" t="s">
        <v>268</v>
      </c>
      <c r="C65" s="204"/>
      <c r="D65" s="204"/>
      <c r="E65" s="205">
        <v>0</v>
      </c>
      <c r="F65" s="206"/>
      <c r="G65" s="206"/>
      <c r="H65" s="199">
        <v>0</v>
      </c>
      <c r="J65" s="125"/>
      <c r="K65" s="13"/>
      <c r="L65" s="13"/>
      <c r="M65" s="35"/>
    </row>
    <row r="66" spans="1:13" ht="15.75" x14ac:dyDescent="0.25">
      <c r="A66" s="207"/>
      <c r="B66" s="307" t="s">
        <v>45</v>
      </c>
      <c r="C66" s="307"/>
      <c r="D66" s="307"/>
      <c r="E66" s="307"/>
      <c r="F66" s="208"/>
      <c r="G66" s="208"/>
      <c r="H66" s="209">
        <f>H58+H61+H62+H63+H64+H65</f>
        <v>115.06</v>
      </c>
    </row>
    <row r="67" spans="1:13" ht="15.75" x14ac:dyDescent="0.25">
      <c r="A67" s="297" t="s">
        <v>79</v>
      </c>
      <c r="B67" s="297"/>
      <c r="C67" s="297"/>
      <c r="D67" s="297"/>
      <c r="E67" s="297"/>
      <c r="F67" s="297"/>
      <c r="G67" s="297"/>
      <c r="H67" s="297"/>
    </row>
    <row r="68" spans="1:13" ht="15.75" x14ac:dyDescent="0.25">
      <c r="A68" s="202" t="s">
        <v>47</v>
      </c>
      <c r="B68" s="176" t="s">
        <v>80</v>
      </c>
      <c r="C68" s="176"/>
      <c r="D68" s="210"/>
      <c r="E68" s="210"/>
      <c r="F68" s="201"/>
      <c r="G68" s="201"/>
      <c r="H68" s="211">
        <f>H43</f>
        <v>453.23157739679999</v>
      </c>
    </row>
    <row r="69" spans="1:13" ht="15.75" x14ac:dyDescent="0.25">
      <c r="A69" s="202" t="s">
        <v>52</v>
      </c>
      <c r="B69" s="176" t="s">
        <v>81</v>
      </c>
      <c r="C69" s="176"/>
      <c r="D69" s="210"/>
      <c r="E69" s="210"/>
      <c r="F69" s="201"/>
      <c r="G69" s="201"/>
      <c r="H69" s="211">
        <f>H53</f>
        <v>596.77897599999994</v>
      </c>
    </row>
    <row r="70" spans="1:13" ht="15.75" x14ac:dyDescent="0.25">
      <c r="A70" s="202" t="s">
        <v>64</v>
      </c>
      <c r="B70" s="176" t="s">
        <v>82</v>
      </c>
      <c r="C70" s="176"/>
      <c r="D70" s="210"/>
      <c r="E70" s="210"/>
      <c r="F70" s="201"/>
      <c r="G70" s="201"/>
      <c r="H70" s="211">
        <f>H66</f>
        <v>115.06</v>
      </c>
    </row>
    <row r="71" spans="1:13" ht="15.75" x14ac:dyDescent="0.25">
      <c r="A71" s="207"/>
      <c r="B71" s="212" t="s">
        <v>45</v>
      </c>
      <c r="C71" s="212"/>
      <c r="D71" s="212"/>
      <c r="E71" s="212"/>
      <c r="F71" s="208"/>
      <c r="G71" s="208"/>
      <c r="H71" s="209">
        <f>SUM(H68:H70)</f>
        <v>1165.0705533967998</v>
      </c>
    </row>
    <row r="72" spans="1:13" ht="15.75" x14ac:dyDescent="0.25">
      <c r="A72" s="213">
        <v>3</v>
      </c>
      <c r="B72" s="297" t="s">
        <v>83</v>
      </c>
      <c r="C72" s="297"/>
      <c r="D72" s="297"/>
      <c r="E72" s="297"/>
      <c r="F72" s="297"/>
      <c r="G72" s="297"/>
      <c r="H72" s="297"/>
    </row>
    <row r="73" spans="1:13" ht="15.75" x14ac:dyDescent="0.25">
      <c r="A73" s="175" t="s">
        <v>4</v>
      </c>
      <c r="B73" s="182" t="s">
        <v>84</v>
      </c>
      <c r="C73" s="182"/>
      <c r="D73" s="214"/>
      <c r="E73" s="214"/>
      <c r="F73" s="214"/>
      <c r="G73" s="179">
        <f>1/12*5%</f>
        <v>4.1666666666666666E-3</v>
      </c>
      <c r="H73" s="178">
        <f>SUM($H$37*G73)</f>
        <v>6.7570083333333333</v>
      </c>
    </row>
    <row r="74" spans="1:13" ht="15.75" x14ac:dyDescent="0.25">
      <c r="A74" s="175" t="s">
        <v>7</v>
      </c>
      <c r="B74" s="182" t="s">
        <v>85</v>
      </c>
      <c r="C74" s="182"/>
      <c r="D74" s="177"/>
      <c r="E74" s="177"/>
      <c r="F74" s="178"/>
      <c r="G74" s="179">
        <f>G73*0.08</f>
        <v>3.3333333333333332E-4</v>
      </c>
      <c r="H74" s="178">
        <f>SUM($H$37*G74)</f>
        <v>0.54056066666666669</v>
      </c>
      <c r="I74" s="115"/>
    </row>
    <row r="75" spans="1:13" ht="15.75" x14ac:dyDescent="0.25">
      <c r="A75" s="175" t="s">
        <v>9</v>
      </c>
      <c r="B75" s="182" t="s">
        <v>86</v>
      </c>
      <c r="C75" s="182"/>
      <c r="D75" s="215"/>
      <c r="E75" s="215"/>
      <c r="F75" s="215"/>
      <c r="G75" s="165">
        <f>(0.08*0.4*0.9)*(1+0.0833+0.121)</f>
        <v>3.4683840000000001E-2</v>
      </c>
      <c r="H75" s="216">
        <f>(ROUND(SUM($H$37*G75),2))</f>
        <v>56.25</v>
      </c>
    </row>
    <row r="76" spans="1:13" ht="15.75" x14ac:dyDescent="0.25">
      <c r="A76" s="175" t="s">
        <v>17</v>
      </c>
      <c r="B76" s="177" t="s">
        <v>87</v>
      </c>
      <c r="C76" s="177"/>
      <c r="D76" s="214"/>
      <c r="E76" s="214"/>
      <c r="F76" s="214"/>
      <c r="G76" s="179">
        <v>1.9400000000000001E-2</v>
      </c>
      <c r="H76" s="178">
        <f>SUM($H$37*G76)</f>
        <v>31.460630800000001</v>
      </c>
    </row>
    <row r="77" spans="1:13" ht="15.75" x14ac:dyDescent="0.25">
      <c r="A77" s="175" t="s">
        <v>40</v>
      </c>
      <c r="B77" s="182" t="s">
        <v>225</v>
      </c>
      <c r="C77" s="182"/>
      <c r="D77" s="177"/>
      <c r="E77" s="177"/>
      <c r="F77" s="178"/>
      <c r="G77" s="179">
        <f>G76*G53</f>
        <v>7.1392000000000027E-3</v>
      </c>
      <c r="H77" s="178">
        <f>SUM($H$37*G77)</f>
        <v>11.577512134400004</v>
      </c>
      <c r="I77" s="115"/>
    </row>
    <row r="78" spans="1:13" ht="15.75" x14ac:dyDescent="0.25">
      <c r="A78" s="175" t="s">
        <v>42</v>
      </c>
      <c r="B78" s="177" t="s">
        <v>89</v>
      </c>
      <c r="C78" s="177"/>
      <c r="D78" s="215"/>
      <c r="E78" s="215"/>
      <c r="F78" s="215"/>
      <c r="G78" s="163">
        <f>4%-G75</f>
        <v>5.3161600000000003E-3</v>
      </c>
      <c r="H78" s="178">
        <f>SUM($H$37*G78)</f>
        <v>8.6211209811200007</v>
      </c>
    </row>
    <row r="79" spans="1:13" ht="15.75" x14ac:dyDescent="0.25">
      <c r="A79" s="217"/>
      <c r="B79" s="185" t="s">
        <v>45</v>
      </c>
      <c r="C79" s="185"/>
      <c r="D79" s="186"/>
      <c r="E79" s="186"/>
      <c r="F79" s="218"/>
      <c r="G79" s="195">
        <f>SUM(G73:G78)</f>
        <v>7.1039199999999997E-2</v>
      </c>
      <c r="H79" s="196">
        <f>SUM(H73:H78)</f>
        <v>115.20683291552001</v>
      </c>
    </row>
    <row r="80" spans="1:13" ht="15.75" x14ac:dyDescent="0.25">
      <c r="A80" s="173">
        <v>4</v>
      </c>
      <c r="B80" s="308" t="s">
        <v>90</v>
      </c>
      <c r="C80" s="308"/>
      <c r="D80" s="308"/>
      <c r="E80" s="308"/>
      <c r="F80" s="308"/>
      <c r="G80" s="308"/>
      <c r="H80" s="308"/>
    </row>
    <row r="81" spans="1:9" ht="15.75" x14ac:dyDescent="0.25">
      <c r="A81" s="219" t="s">
        <v>91</v>
      </c>
      <c r="B81" s="297" t="s">
        <v>236</v>
      </c>
      <c r="C81" s="297"/>
      <c r="D81" s="297"/>
      <c r="E81" s="297"/>
      <c r="F81" s="297"/>
      <c r="G81" s="297"/>
      <c r="H81" s="297"/>
    </row>
    <row r="82" spans="1:9" ht="15.75" x14ac:dyDescent="0.25">
      <c r="A82" s="175" t="s">
        <v>4</v>
      </c>
      <c r="B82" s="182" t="s">
        <v>226</v>
      </c>
      <c r="C82" s="182"/>
      <c r="D82" s="214"/>
      <c r="E82" s="214"/>
      <c r="F82" s="214"/>
      <c r="G82" s="179">
        <v>0</v>
      </c>
      <c r="H82" s="178"/>
    </row>
    <row r="83" spans="1:9" ht="15.75" x14ac:dyDescent="0.25">
      <c r="A83" s="220" t="s">
        <v>7</v>
      </c>
      <c r="B83" s="182" t="s">
        <v>227</v>
      </c>
      <c r="C83" s="309" t="s">
        <v>95</v>
      </c>
      <c r="D83" s="168">
        <v>5.96</v>
      </c>
      <c r="E83" s="309" t="s">
        <v>96</v>
      </c>
      <c r="F83" s="170">
        <v>1</v>
      </c>
      <c r="G83" s="179">
        <f t="shared" ref="G83:G88" si="1">D83/360*F83</f>
        <v>1.6555555555555556E-2</v>
      </c>
      <c r="H83" s="178">
        <f>SUM(H$37*G83)</f>
        <v>26.847846444444446</v>
      </c>
    </row>
    <row r="84" spans="1:9" ht="15.75" x14ac:dyDescent="0.25">
      <c r="A84" s="175" t="s">
        <v>9</v>
      </c>
      <c r="B84" s="182" t="s">
        <v>228</v>
      </c>
      <c r="C84" s="309"/>
      <c r="D84" s="168">
        <v>5</v>
      </c>
      <c r="E84" s="309"/>
      <c r="F84" s="170">
        <v>1.4999999999999999E-2</v>
      </c>
      <c r="G84" s="179">
        <f t="shared" si="1"/>
        <v>2.0833333333333332E-4</v>
      </c>
      <c r="H84" s="178">
        <f>SUM(H$37*G84)</f>
        <v>0.33785041666666665</v>
      </c>
    </row>
    <row r="85" spans="1:9" ht="15.75" x14ac:dyDescent="0.25">
      <c r="A85" s="175" t="s">
        <v>17</v>
      </c>
      <c r="B85" s="182" t="s">
        <v>229</v>
      </c>
      <c r="C85" s="309"/>
      <c r="D85" s="168">
        <v>15</v>
      </c>
      <c r="E85" s="309"/>
      <c r="F85" s="171">
        <v>7.7999999999999996E-3</v>
      </c>
      <c r="G85" s="179">
        <f t="shared" si="1"/>
        <v>3.2499999999999999E-4</v>
      </c>
      <c r="H85" s="178">
        <f>SUM(H$37*G85)</f>
        <v>0.52704664999999995</v>
      </c>
    </row>
    <row r="86" spans="1:9" ht="15.75" x14ac:dyDescent="0.25">
      <c r="A86" s="175" t="s">
        <v>40</v>
      </c>
      <c r="B86" s="182" t="s">
        <v>230</v>
      </c>
      <c r="C86" s="309"/>
      <c r="D86" s="168">
        <v>120</v>
      </c>
      <c r="E86" s="309"/>
      <c r="F86" s="170"/>
      <c r="G86" s="179">
        <v>5.9999999999999995E-4</v>
      </c>
      <c r="H86" s="178">
        <f>SUM(H$37*G86)</f>
        <v>0.97300919999999991</v>
      </c>
    </row>
    <row r="87" spans="1:9" ht="15.75" x14ac:dyDescent="0.25">
      <c r="A87" s="175" t="s">
        <v>42</v>
      </c>
      <c r="B87" s="182" t="s">
        <v>101</v>
      </c>
      <c r="C87" s="309"/>
      <c r="D87" s="169"/>
      <c r="E87" s="309"/>
      <c r="F87" s="172"/>
      <c r="G87" s="179">
        <f t="shared" si="1"/>
        <v>0</v>
      </c>
      <c r="H87" s="221">
        <f>SUM(H$37*G87)</f>
        <v>0</v>
      </c>
    </row>
    <row r="88" spans="1:9" ht="15.75" x14ac:dyDescent="0.25">
      <c r="A88" s="175" t="s">
        <v>61</v>
      </c>
      <c r="B88" s="182"/>
      <c r="C88" s="309"/>
      <c r="D88" s="169"/>
      <c r="E88" s="309"/>
      <c r="F88" s="222"/>
      <c r="G88" s="179">
        <f t="shared" si="1"/>
        <v>0</v>
      </c>
      <c r="H88" s="221"/>
    </row>
    <row r="89" spans="1:9" ht="15.75" x14ac:dyDescent="0.25">
      <c r="A89" s="201"/>
      <c r="B89" s="177" t="s">
        <v>102</v>
      </c>
      <c r="C89" s="177"/>
      <c r="D89" s="177"/>
      <c r="E89" s="177"/>
      <c r="F89" s="178"/>
      <c r="G89" s="179">
        <f>SUM(G82:G88)</f>
        <v>1.7688888888888889E-2</v>
      </c>
      <c r="H89" s="178">
        <f>SUM(H82:H88)</f>
        <v>28.68575271111111</v>
      </c>
    </row>
    <row r="90" spans="1:9" ht="15.75" x14ac:dyDescent="0.25">
      <c r="A90" s="175" t="s">
        <v>42</v>
      </c>
      <c r="B90" s="182" t="s">
        <v>103</v>
      </c>
      <c r="C90" s="182"/>
      <c r="D90" s="177"/>
      <c r="E90" s="177"/>
      <c r="F90" s="178"/>
      <c r="G90" s="179">
        <v>0</v>
      </c>
      <c r="H90" s="178">
        <v>0</v>
      </c>
      <c r="I90" s="115"/>
    </row>
    <row r="91" spans="1:9" ht="15.75" x14ac:dyDescent="0.25">
      <c r="A91" s="217"/>
      <c r="B91" s="185" t="s">
        <v>45</v>
      </c>
      <c r="C91" s="185"/>
      <c r="D91" s="186"/>
      <c r="E91" s="186"/>
      <c r="F91" s="218"/>
      <c r="G91" s="195">
        <f>G90+G89</f>
        <v>1.7688888888888889E-2</v>
      </c>
      <c r="H91" s="196">
        <f>SUM(H89:H90)</f>
        <v>28.68575271111111</v>
      </c>
    </row>
    <row r="92" spans="1:9" ht="15.75" x14ac:dyDescent="0.25">
      <c r="A92" s="219" t="s">
        <v>104</v>
      </c>
      <c r="B92" s="297" t="s">
        <v>232</v>
      </c>
      <c r="C92" s="297"/>
      <c r="D92" s="297"/>
      <c r="E92" s="297"/>
      <c r="F92" s="297"/>
      <c r="G92" s="297"/>
      <c r="H92" s="297"/>
    </row>
    <row r="93" spans="1:9" ht="15.75" x14ac:dyDescent="0.25">
      <c r="A93" s="175" t="s">
        <v>4</v>
      </c>
      <c r="B93" s="182" t="s">
        <v>234</v>
      </c>
      <c r="C93" s="182"/>
      <c r="D93" s="214"/>
      <c r="E93" s="214"/>
      <c r="F93" s="214"/>
      <c r="G93" s="163">
        <v>0</v>
      </c>
      <c r="H93" s="178">
        <f>SUM(H$37*G93)</f>
        <v>0</v>
      </c>
    </row>
    <row r="94" spans="1:9" ht="15.75" x14ac:dyDescent="0.25">
      <c r="A94" s="175" t="s">
        <v>7</v>
      </c>
      <c r="B94" s="182" t="s">
        <v>107</v>
      </c>
      <c r="C94" s="182"/>
      <c r="D94" s="214"/>
      <c r="E94" s="214"/>
      <c r="F94" s="214"/>
      <c r="G94" s="179">
        <f>G93*G53</f>
        <v>0</v>
      </c>
      <c r="H94" s="178">
        <f>SUM($H$37*G94)</f>
        <v>0</v>
      </c>
    </row>
    <row r="95" spans="1:9" ht="15.75" x14ac:dyDescent="0.25">
      <c r="A95" s="217"/>
      <c r="B95" s="185" t="s">
        <v>45</v>
      </c>
      <c r="C95" s="185"/>
      <c r="D95" s="186"/>
      <c r="E95" s="186"/>
      <c r="F95" s="218"/>
      <c r="G95" s="195">
        <f>G94+G93</f>
        <v>0</v>
      </c>
      <c r="H95" s="196">
        <f>SUM(H93:H94)</f>
        <v>0</v>
      </c>
    </row>
    <row r="96" spans="1:9" ht="15.75" x14ac:dyDescent="0.25">
      <c r="A96" s="297" t="s">
        <v>108</v>
      </c>
      <c r="B96" s="297"/>
      <c r="C96" s="297"/>
      <c r="D96" s="297"/>
      <c r="E96" s="297"/>
      <c r="F96" s="297"/>
      <c r="G96" s="297"/>
      <c r="H96" s="297"/>
    </row>
    <row r="97" spans="1:10" ht="15.75" x14ac:dyDescent="0.25">
      <c r="A97" s="175" t="s">
        <v>91</v>
      </c>
      <c r="B97" s="182" t="s">
        <v>235</v>
      </c>
      <c r="C97" s="182"/>
      <c r="D97" s="214"/>
      <c r="E97" s="214"/>
      <c r="F97" s="214"/>
      <c r="G97" s="179">
        <f>G91</f>
        <v>1.7688888888888889E-2</v>
      </c>
      <c r="H97" s="178">
        <f>H91</f>
        <v>28.68575271111111</v>
      </c>
    </row>
    <row r="98" spans="1:10" ht="15.75" x14ac:dyDescent="0.25">
      <c r="A98" s="175" t="s">
        <v>104</v>
      </c>
      <c r="B98" s="182" t="s">
        <v>233</v>
      </c>
      <c r="C98" s="182"/>
      <c r="D98" s="214"/>
      <c r="E98" s="214"/>
      <c r="F98" s="214"/>
      <c r="G98" s="179">
        <f>G95</f>
        <v>0</v>
      </c>
      <c r="H98" s="178">
        <f>H95</f>
        <v>0</v>
      </c>
    </row>
    <row r="99" spans="1:10" ht="15.75" x14ac:dyDescent="0.25">
      <c r="A99" s="217"/>
      <c r="B99" s="185" t="s">
        <v>45</v>
      </c>
      <c r="C99" s="185"/>
      <c r="D99" s="186"/>
      <c r="E99" s="186"/>
      <c r="F99" s="218"/>
      <c r="G99" s="195">
        <f>G95+G91</f>
        <v>1.7688888888888889E-2</v>
      </c>
      <c r="H99" s="196">
        <f>SUM(H97:H98)</f>
        <v>28.68575271111111</v>
      </c>
    </row>
    <row r="100" spans="1:10" ht="15.75" x14ac:dyDescent="0.25">
      <c r="A100" s="219">
        <v>5</v>
      </c>
      <c r="B100" s="297" t="s">
        <v>110</v>
      </c>
      <c r="C100" s="297"/>
      <c r="D100" s="297"/>
      <c r="E100" s="297"/>
      <c r="F100" s="297"/>
      <c r="G100" s="297"/>
      <c r="H100" s="297"/>
    </row>
    <row r="101" spans="1:10" ht="15.75" x14ac:dyDescent="0.25">
      <c r="A101" s="175" t="s">
        <v>4</v>
      </c>
      <c r="B101" s="201" t="s">
        <v>111</v>
      </c>
      <c r="C101" s="201"/>
      <c r="D101" s="223"/>
      <c r="E101" s="177"/>
      <c r="F101" s="199"/>
      <c r="G101" s="199"/>
      <c r="H101" s="199">
        <v>16.920000000000002</v>
      </c>
    </row>
    <row r="102" spans="1:10" ht="15.75" x14ac:dyDescent="0.25">
      <c r="A102" s="175" t="s">
        <v>7</v>
      </c>
      <c r="B102" s="201" t="s">
        <v>112</v>
      </c>
      <c r="C102" s="201"/>
      <c r="D102" s="223"/>
      <c r="E102" s="177"/>
      <c r="F102" s="199"/>
      <c r="G102" s="199"/>
      <c r="H102" s="199"/>
    </row>
    <row r="103" spans="1:10" ht="15.75" x14ac:dyDescent="0.25">
      <c r="A103" s="175" t="s">
        <v>9</v>
      </c>
      <c r="B103" s="201" t="s">
        <v>113</v>
      </c>
      <c r="C103" s="201"/>
      <c r="D103" s="223"/>
      <c r="E103" s="177"/>
      <c r="F103" s="199"/>
      <c r="G103" s="199"/>
      <c r="H103" s="199"/>
    </row>
    <row r="104" spans="1:10" ht="15.75" x14ac:dyDescent="0.25">
      <c r="A104" s="175" t="s">
        <v>17</v>
      </c>
      <c r="B104" s="201" t="s">
        <v>164</v>
      </c>
      <c r="C104" s="201"/>
      <c r="D104" s="223"/>
      <c r="E104" s="177"/>
      <c r="F104" s="199"/>
      <c r="G104" s="199"/>
      <c r="H104" s="199">
        <v>23.22</v>
      </c>
    </row>
    <row r="105" spans="1:10" ht="15.75" x14ac:dyDescent="0.25">
      <c r="A105" s="175" t="s">
        <v>40</v>
      </c>
      <c r="B105" s="201" t="s">
        <v>248</v>
      </c>
      <c r="C105" s="201"/>
      <c r="D105" s="223"/>
      <c r="E105" s="177"/>
      <c r="F105" s="199"/>
      <c r="G105" s="199"/>
      <c r="H105" s="199">
        <v>3.91</v>
      </c>
    </row>
    <row r="106" spans="1:10" ht="15.75" x14ac:dyDescent="0.25">
      <c r="A106" s="217"/>
      <c r="B106" s="185" t="s">
        <v>45</v>
      </c>
      <c r="C106" s="185"/>
      <c r="D106" s="186"/>
      <c r="E106" s="186"/>
      <c r="F106" s="218"/>
      <c r="G106" s="195"/>
      <c r="H106" s="196">
        <f>SUM(H101:H105)</f>
        <v>44.05</v>
      </c>
    </row>
    <row r="107" spans="1:10" ht="15.75" x14ac:dyDescent="0.25">
      <c r="A107" s="219">
        <v>6</v>
      </c>
      <c r="B107" s="297" t="s">
        <v>114</v>
      </c>
      <c r="C107" s="297"/>
      <c r="D107" s="297"/>
      <c r="E107" s="297"/>
      <c r="F107" s="297"/>
      <c r="G107" s="297"/>
      <c r="H107" s="297"/>
    </row>
    <row r="108" spans="1:10" ht="15.75" x14ac:dyDescent="0.25">
      <c r="A108" s="224" t="s">
        <v>4</v>
      </c>
      <c r="B108" s="177"/>
      <c r="C108" s="177"/>
      <c r="D108" s="177"/>
      <c r="E108" s="177"/>
      <c r="F108" s="177" t="s">
        <v>115</v>
      </c>
      <c r="G108" s="163">
        <v>0.03</v>
      </c>
      <c r="H108" s="178">
        <f>G108*H123</f>
        <v>89.240854170702931</v>
      </c>
    </row>
    <row r="109" spans="1:10" ht="15.75" x14ac:dyDescent="0.25">
      <c r="A109" s="224" t="s">
        <v>7</v>
      </c>
      <c r="B109" s="177"/>
      <c r="C109" s="177"/>
      <c r="D109" s="177"/>
      <c r="E109" s="177"/>
      <c r="F109" s="175" t="s">
        <v>116</v>
      </c>
      <c r="G109" s="163">
        <v>6.7900000000000002E-2</v>
      </c>
      <c r="H109" s="178">
        <f>(H108+H123)*$G$109</f>
        <v>208.04125393788169</v>
      </c>
    </row>
    <row r="110" spans="1:10" ht="15.75" x14ac:dyDescent="0.25">
      <c r="A110" s="224" t="s">
        <v>9</v>
      </c>
      <c r="B110" s="177"/>
      <c r="C110" s="177"/>
      <c r="D110" s="177"/>
      <c r="E110" s="177"/>
      <c r="F110" s="175" t="s">
        <v>117</v>
      </c>
      <c r="G110" s="225">
        <f>SUM(G111:G115)</f>
        <v>8.6499999999999994E-2</v>
      </c>
      <c r="H110" s="178">
        <f>H112+H113+H115</f>
        <v>309.82597906614052</v>
      </c>
    </row>
    <row r="111" spans="1:10" ht="15.75" x14ac:dyDescent="0.25">
      <c r="A111" s="224" t="s">
        <v>118</v>
      </c>
      <c r="B111" s="177"/>
      <c r="C111" s="177"/>
      <c r="D111" s="177"/>
      <c r="E111" s="177"/>
      <c r="F111" s="226" t="s">
        <v>119</v>
      </c>
      <c r="G111" s="179">
        <v>0</v>
      </c>
      <c r="H111" s="178"/>
    </row>
    <row r="112" spans="1:10" ht="15.75" x14ac:dyDescent="0.25">
      <c r="A112" s="224" t="s">
        <v>120</v>
      </c>
      <c r="B112" s="177"/>
      <c r="C112" s="177"/>
      <c r="D112" s="177"/>
      <c r="E112" s="177"/>
      <c r="F112" s="226" t="s">
        <v>121</v>
      </c>
      <c r="G112" s="163">
        <v>6.4999999999999997E-3</v>
      </c>
      <c r="H112" s="178">
        <f>((H108+H109+H123)/0.9135)*$G$112</f>
        <v>23.281720970288013</v>
      </c>
      <c r="J112" s="120"/>
    </row>
    <row r="113" spans="1:9" ht="15.75" x14ac:dyDescent="0.25">
      <c r="A113" s="224" t="s">
        <v>122</v>
      </c>
      <c r="B113" s="177"/>
      <c r="C113" s="177"/>
      <c r="D113" s="177"/>
      <c r="E113" s="177"/>
      <c r="F113" s="226" t="s">
        <v>123</v>
      </c>
      <c r="G113" s="163">
        <v>0.03</v>
      </c>
      <c r="H113" s="178">
        <f>((H108+H109+H123)/0.9135)*G113</f>
        <v>107.45409678594469</v>
      </c>
    </row>
    <row r="114" spans="1:9" ht="15.75" x14ac:dyDescent="0.25">
      <c r="A114" s="224" t="s">
        <v>124</v>
      </c>
      <c r="B114" s="177"/>
      <c r="C114" s="177"/>
      <c r="D114" s="177"/>
      <c r="E114" s="177"/>
      <c r="F114" s="226" t="s">
        <v>125</v>
      </c>
      <c r="G114" s="179">
        <v>0</v>
      </c>
      <c r="H114" s="178"/>
    </row>
    <row r="115" spans="1:9" ht="15.75" x14ac:dyDescent="0.25">
      <c r="A115" s="224" t="s">
        <v>126</v>
      </c>
      <c r="B115" s="177"/>
      <c r="C115" s="177"/>
      <c r="D115" s="177"/>
      <c r="E115" s="177"/>
      <c r="F115" s="226" t="s">
        <v>127</v>
      </c>
      <c r="G115" s="179">
        <v>0.05</v>
      </c>
      <c r="H115" s="178">
        <f>((H108+H109+H123)/0.9135)*G115</f>
        <v>179.09016130990781</v>
      </c>
    </row>
    <row r="116" spans="1:9" ht="15.75" x14ac:dyDescent="0.25">
      <c r="A116" s="217"/>
      <c r="B116" s="185" t="s">
        <v>45</v>
      </c>
      <c r="C116" s="185"/>
      <c r="D116" s="186"/>
      <c r="E116" s="186"/>
      <c r="F116" s="218"/>
      <c r="G116" s="195">
        <f>G110+G109+G108</f>
        <v>0.18439999999999998</v>
      </c>
      <c r="H116" s="196">
        <f>H108+H109+H110</f>
        <v>607.10808717472514</v>
      </c>
    </row>
    <row r="117" spans="1:9" ht="15.75" x14ac:dyDescent="0.25">
      <c r="A117" s="227"/>
      <c r="B117" s="297" t="s">
        <v>128</v>
      </c>
      <c r="C117" s="297"/>
      <c r="D117" s="297"/>
      <c r="E117" s="297"/>
      <c r="F117" s="297"/>
      <c r="G117" s="297"/>
      <c r="H117" s="297"/>
      <c r="I117" s="115"/>
    </row>
    <row r="118" spans="1:9" ht="15.75" x14ac:dyDescent="0.25">
      <c r="A118" s="228" t="s">
        <v>4</v>
      </c>
      <c r="B118" s="177" t="s">
        <v>30</v>
      </c>
      <c r="C118" s="177"/>
      <c r="D118" s="177"/>
      <c r="E118" s="177"/>
      <c r="F118" s="178"/>
      <c r="G118" s="179">
        <f>SUM(H118/H$125)</f>
        <v>0.45275574831655579</v>
      </c>
      <c r="H118" s="178">
        <f>SUM(H37)</f>
        <v>1621.682</v>
      </c>
      <c r="I118" s="115"/>
    </row>
    <row r="119" spans="1:9" ht="15.75" x14ac:dyDescent="0.25">
      <c r="A119" s="228" t="s">
        <v>7</v>
      </c>
      <c r="B119" s="177" t="s">
        <v>129</v>
      </c>
      <c r="C119" s="177"/>
      <c r="D119" s="177"/>
      <c r="E119" s="177"/>
      <c r="F119" s="178"/>
      <c r="G119" s="179">
        <f>SUM(H119/H$125)</f>
        <v>0.32527486291686775</v>
      </c>
      <c r="H119" s="178">
        <f>H71</f>
        <v>1165.0705533967998</v>
      </c>
    </row>
    <row r="120" spans="1:9" ht="15.75" x14ac:dyDescent="0.25">
      <c r="A120" s="228" t="s">
        <v>9</v>
      </c>
      <c r="B120" s="177" t="s">
        <v>130</v>
      </c>
      <c r="C120" s="177"/>
      <c r="D120" s="177"/>
      <c r="E120" s="177"/>
      <c r="F120" s="178"/>
      <c r="G120" s="179">
        <f>SUM(H120/H$125)</f>
        <v>3.2164478515422056E-2</v>
      </c>
      <c r="H120" s="178">
        <f>H79</f>
        <v>115.20683291552001</v>
      </c>
    </row>
    <row r="121" spans="1:9" ht="15.75" x14ac:dyDescent="0.25">
      <c r="A121" s="228" t="s">
        <v>17</v>
      </c>
      <c r="B121" s="177" t="s">
        <v>131</v>
      </c>
      <c r="C121" s="177"/>
      <c r="D121" s="177"/>
      <c r="E121" s="177"/>
      <c r="F121" s="178"/>
      <c r="G121" s="179">
        <f>SUM(H121/H$125)</f>
        <v>8.0087461257772989E-3</v>
      </c>
      <c r="H121" s="178">
        <f>H99</f>
        <v>28.68575271111111</v>
      </c>
    </row>
    <row r="122" spans="1:9" ht="15.75" x14ac:dyDescent="0.25">
      <c r="A122" s="228" t="s">
        <v>40</v>
      </c>
      <c r="B122" s="177" t="s">
        <v>110</v>
      </c>
      <c r="C122" s="177"/>
      <c r="D122" s="177"/>
      <c r="E122" s="177"/>
      <c r="F122" s="178"/>
      <c r="G122" s="179">
        <f>H122/H125</f>
        <v>1.2298274700800948E-2</v>
      </c>
      <c r="H122" s="178">
        <f>H106</f>
        <v>44.05</v>
      </c>
    </row>
    <row r="123" spans="1:9" ht="15.75" x14ac:dyDescent="0.25">
      <c r="A123" s="228"/>
      <c r="B123" s="177" t="s">
        <v>132</v>
      </c>
      <c r="C123" s="177"/>
      <c r="D123" s="177"/>
      <c r="E123" s="177"/>
      <c r="F123" s="178"/>
      <c r="G123" s="179">
        <f>SUM(G118:G122)</f>
        <v>0.83050211057542378</v>
      </c>
      <c r="H123" s="178">
        <f>SUM(H118:H122)</f>
        <v>2974.6951390234312</v>
      </c>
    </row>
    <row r="124" spans="1:9" ht="15.75" x14ac:dyDescent="0.25">
      <c r="A124" s="228" t="s">
        <v>40</v>
      </c>
      <c r="B124" s="177" t="s">
        <v>133</v>
      </c>
      <c r="C124" s="177"/>
      <c r="D124" s="177"/>
      <c r="E124" s="177"/>
      <c r="F124" s="178"/>
      <c r="G124" s="179">
        <f>SUM(H124/H$125)</f>
        <v>0.16949788942457614</v>
      </c>
      <c r="H124" s="178">
        <f>H116</f>
        <v>607.10808717472514</v>
      </c>
    </row>
    <row r="125" spans="1:9" ht="15.75" x14ac:dyDescent="0.25">
      <c r="A125" s="185"/>
      <c r="B125" s="185" t="s">
        <v>134</v>
      </c>
      <c r="C125" s="185"/>
      <c r="D125" s="185"/>
      <c r="E125" s="185"/>
      <c r="F125" s="185"/>
      <c r="G125" s="185">
        <f>SUM(G123+G124)</f>
        <v>0.99999999999999989</v>
      </c>
      <c r="H125" s="229">
        <f>H124+H123</f>
        <v>3581.8032261981562</v>
      </c>
    </row>
    <row r="126" spans="1:9" ht="15.75" x14ac:dyDescent="0.25">
      <c r="A126" s="230"/>
      <c r="B126" s="297" t="s">
        <v>135</v>
      </c>
      <c r="C126" s="297"/>
      <c r="D126" s="297"/>
      <c r="E126" s="297"/>
      <c r="F126" s="297"/>
      <c r="G126" s="297"/>
      <c r="H126" s="297"/>
    </row>
    <row r="127" spans="1:9" ht="47.25" x14ac:dyDescent="0.25">
      <c r="A127" s="177"/>
      <c r="B127" s="231" t="s">
        <v>20</v>
      </c>
      <c r="C127" s="231"/>
      <c r="D127" s="232" t="s">
        <v>136</v>
      </c>
      <c r="E127" s="232" t="s">
        <v>137</v>
      </c>
      <c r="F127" s="233" t="s">
        <v>138</v>
      </c>
      <c r="G127" s="232" t="s">
        <v>139</v>
      </c>
      <c r="H127" s="234" t="s">
        <v>140</v>
      </c>
    </row>
    <row r="128" spans="1:9" ht="15.75" x14ac:dyDescent="0.25">
      <c r="A128" s="177"/>
      <c r="B128" s="224" t="s">
        <v>141</v>
      </c>
      <c r="C128" s="224"/>
      <c r="D128" s="224" t="s">
        <v>142</v>
      </c>
      <c r="E128" s="232" t="s">
        <v>143</v>
      </c>
      <c r="F128" s="233" t="s">
        <v>144</v>
      </c>
      <c r="G128" s="224" t="s">
        <v>145</v>
      </c>
      <c r="H128" s="235" t="s">
        <v>146</v>
      </c>
    </row>
    <row r="129" spans="1:8" ht="15.75" x14ac:dyDescent="0.25">
      <c r="A129" s="175"/>
      <c r="B129" s="236"/>
      <c r="C129" s="236"/>
      <c r="D129" s="237">
        <f>SUM(H125)</f>
        <v>3581.8032261981562</v>
      </c>
      <c r="E129" s="166">
        <v>6</v>
      </c>
      <c r="F129" s="237">
        <f>D129*E129</f>
        <v>21490.819357188935</v>
      </c>
      <c r="G129" s="167">
        <v>1</v>
      </c>
      <c r="H129" s="178">
        <f>E129*D129</f>
        <v>21490.819357188935</v>
      </c>
    </row>
    <row r="130" spans="1:8" ht="15.75" x14ac:dyDescent="0.25">
      <c r="A130" s="177"/>
      <c r="B130" s="231" t="s">
        <v>147</v>
      </c>
      <c r="C130" s="231"/>
      <c r="D130" s="201"/>
      <c r="E130" s="201"/>
      <c r="F130" s="201"/>
      <c r="G130" s="201"/>
      <c r="H130" s="238">
        <f>SUM(H129)</f>
        <v>21490.819357188935</v>
      </c>
    </row>
    <row r="131" spans="1:8" ht="15.75" x14ac:dyDescent="0.25">
      <c r="A131" s="177"/>
      <c r="B131" s="231"/>
      <c r="C131" s="231"/>
      <c r="D131" s="239"/>
      <c r="E131" s="231"/>
      <c r="F131" s="231"/>
      <c r="G131" s="231"/>
      <c r="H131" s="231"/>
    </row>
    <row r="132" spans="1:8" ht="15.75" x14ac:dyDescent="0.25">
      <c r="A132" s="219"/>
      <c r="B132" s="297" t="s">
        <v>148</v>
      </c>
      <c r="C132" s="297"/>
      <c r="D132" s="297"/>
      <c r="E132" s="297"/>
      <c r="F132" s="297"/>
      <c r="G132" s="297"/>
      <c r="H132" s="297"/>
    </row>
    <row r="133" spans="1:8" ht="15.75" x14ac:dyDescent="0.25">
      <c r="A133" s="240"/>
      <c r="B133" s="240" t="s">
        <v>149</v>
      </c>
      <c r="C133" s="240"/>
      <c r="D133" s="240"/>
      <c r="E133" s="231"/>
      <c r="F133" s="231"/>
      <c r="G133" s="231"/>
      <c r="H133" s="241" t="s">
        <v>150</v>
      </c>
    </row>
    <row r="134" spans="1:8" ht="15.75" x14ac:dyDescent="0.25">
      <c r="A134" s="242" t="s">
        <v>4</v>
      </c>
      <c r="B134" s="243" t="s">
        <v>151</v>
      </c>
      <c r="C134" s="243"/>
      <c r="D134" s="243"/>
      <c r="E134" s="201"/>
      <c r="F134" s="201"/>
      <c r="G134" s="201"/>
      <c r="H134" s="241">
        <f>D129</f>
        <v>3581.8032261981562</v>
      </c>
    </row>
    <row r="135" spans="1:8" ht="15.75" x14ac:dyDescent="0.25">
      <c r="A135" s="242" t="s">
        <v>7</v>
      </c>
      <c r="B135" s="243" t="s">
        <v>152</v>
      </c>
      <c r="C135" s="243"/>
      <c r="D135" s="243"/>
      <c r="E135" s="201"/>
      <c r="F135" s="201"/>
      <c r="G135" s="201"/>
      <c r="H135" s="241">
        <f>H130</f>
        <v>21490.819357188935</v>
      </c>
    </row>
    <row r="136" spans="1:8" ht="15.75" x14ac:dyDescent="0.25">
      <c r="A136" s="242" t="s">
        <v>17</v>
      </c>
      <c r="B136" s="176" t="s">
        <v>153</v>
      </c>
      <c r="C136" s="176"/>
      <c r="D136" s="243"/>
      <c r="E136" s="201"/>
      <c r="F136" s="201"/>
      <c r="G136" s="166">
        <v>12</v>
      </c>
      <c r="H136" s="241">
        <f>SUM(H135*G136)</f>
        <v>257889.83228626722</v>
      </c>
    </row>
    <row r="137" spans="1:8" ht="15.75" x14ac:dyDescent="0.25">
      <c r="A137" s="6"/>
      <c r="B137" s="6"/>
      <c r="C137" s="6"/>
      <c r="D137" s="6"/>
      <c r="E137" s="6"/>
      <c r="F137" s="6"/>
      <c r="G137" s="6"/>
      <c r="H137" s="6"/>
    </row>
    <row r="140" spans="1:8" x14ac:dyDescent="0.25">
      <c r="A140" s="150" t="s">
        <v>203</v>
      </c>
      <c r="B140" s="150"/>
    </row>
    <row r="141" spans="1:8" x14ac:dyDescent="0.25">
      <c r="A141" s="150" t="s">
        <v>204</v>
      </c>
      <c r="B141" s="150"/>
    </row>
    <row r="142" spans="1:8" x14ac:dyDescent="0.25">
      <c r="A142" s="150" t="s">
        <v>257</v>
      </c>
      <c r="B142" s="150"/>
    </row>
    <row r="143" spans="1:8" x14ac:dyDescent="0.25">
      <c r="A143" s="150"/>
      <c r="B143" s="150"/>
    </row>
    <row r="144" spans="1:8" x14ac:dyDescent="0.25">
      <c r="A144" s="150" t="s">
        <v>206</v>
      </c>
      <c r="B144" s="150"/>
    </row>
    <row r="146" spans="1:6" x14ac:dyDescent="0.25">
      <c r="A146" t="s">
        <v>207</v>
      </c>
    </row>
    <row r="147" spans="1:6" x14ac:dyDescent="0.25">
      <c r="A147" s="150" t="s">
        <v>208</v>
      </c>
    </row>
    <row r="148" spans="1:6" x14ac:dyDescent="0.25">
      <c r="A148" s="150" t="s">
        <v>209</v>
      </c>
    </row>
    <row r="149" spans="1:6" x14ac:dyDescent="0.25">
      <c r="A149" s="150"/>
    </row>
    <row r="150" spans="1:6" x14ac:dyDescent="0.25">
      <c r="A150" s="150" t="s">
        <v>210</v>
      </c>
    </row>
    <row r="151" spans="1:6" x14ac:dyDescent="0.25">
      <c r="A151" s="150"/>
    </row>
    <row r="152" spans="1:6" x14ac:dyDescent="0.25">
      <c r="A152" s="150" t="s">
        <v>211</v>
      </c>
    </row>
    <row r="153" spans="1:6" x14ac:dyDescent="0.25">
      <c r="A153" s="150"/>
    </row>
    <row r="154" spans="1:6" x14ac:dyDescent="0.25">
      <c r="A154" s="150"/>
    </row>
    <row r="155" spans="1:6" x14ac:dyDescent="0.25">
      <c r="A155" s="150" t="s">
        <v>206</v>
      </c>
    </row>
    <row r="156" spans="1:6" x14ac:dyDescent="0.25">
      <c r="A156" s="150" t="s">
        <v>222</v>
      </c>
    </row>
    <row r="157" spans="1:6" x14ac:dyDescent="0.25">
      <c r="B157" s="151" t="s">
        <v>213</v>
      </c>
      <c r="C157" s="152"/>
      <c r="D157" s="152"/>
      <c r="E157" s="152"/>
      <c r="F157" s="152"/>
    </row>
    <row r="158" spans="1:6" x14ac:dyDescent="0.25">
      <c r="B158" s="151"/>
      <c r="C158" s="152"/>
      <c r="D158" s="152"/>
      <c r="E158" s="152"/>
      <c r="F158" s="152"/>
    </row>
    <row r="159" spans="1:6" x14ac:dyDescent="0.25">
      <c r="B159" s="151" t="s">
        <v>214</v>
      </c>
      <c r="C159" s="152" t="s">
        <v>215</v>
      </c>
      <c r="D159" s="152" t="s">
        <v>216</v>
      </c>
      <c r="E159" s="152" t="s">
        <v>217</v>
      </c>
      <c r="F159" s="152" t="s">
        <v>218</v>
      </c>
    </row>
    <row r="160" spans="1:6" x14ac:dyDescent="0.25">
      <c r="B160" s="151" t="s">
        <v>219</v>
      </c>
      <c r="C160" s="153">
        <v>1.6500000000000001E-2</v>
      </c>
      <c r="D160" s="153">
        <v>7.5999999999999998E-2</v>
      </c>
      <c r="E160" s="154">
        <v>0.05</v>
      </c>
      <c r="F160" s="152">
        <v>0.85750000000000004</v>
      </c>
    </row>
    <row r="161" spans="1:6" x14ac:dyDescent="0.25">
      <c r="B161" s="151" t="s">
        <v>220</v>
      </c>
      <c r="C161" s="153">
        <v>6.4999999999999997E-3</v>
      </c>
      <c r="D161" s="154">
        <v>0.03</v>
      </c>
      <c r="E161" s="154">
        <v>0.05</v>
      </c>
      <c r="F161" s="152">
        <v>0.91349999999999998</v>
      </c>
    </row>
    <row r="162" spans="1:6" x14ac:dyDescent="0.25">
      <c r="B162" s="151" t="s">
        <v>221</v>
      </c>
      <c r="C162" s="153">
        <v>4.4000000000000003E-3</v>
      </c>
      <c r="D162" s="153">
        <v>2.35E-2</v>
      </c>
      <c r="E162" s="154">
        <v>0.05</v>
      </c>
      <c r="F162" s="152">
        <v>0.92210000000000003</v>
      </c>
    </row>
    <row r="164" spans="1:6" x14ac:dyDescent="0.25">
      <c r="A164" s="156" t="s">
        <v>224</v>
      </c>
    </row>
  </sheetData>
  <dataConsolidate/>
  <mergeCells count="51">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0">
      <formula1>$J$28:$J$31</formula1>
      <formula2>0</formula2>
    </dataValidation>
    <dataValidation type="list" operator="equal" allowBlank="1" showErrorMessage="1" promptTitle="Percentual" sqref="E30">
      <formula1>$K$28:$K$31</formula1>
      <formula2>0</formula2>
    </dataValidation>
  </dataValidations>
  <pageMargins left="0.7" right="0.7" top="0.75" bottom="0.75" header="0.3" footer="0.3"/>
  <pageSetup scale="4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5"/>
  <sheetViews>
    <sheetView topLeftCell="A4" zoomScale="90" zoomScaleNormal="90" workbookViewId="0">
      <selection activeCell="E4" sqref="E4:H6"/>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c r="E2" s="3"/>
      <c r="F2" s="3" t="s">
        <v>2</v>
      </c>
      <c r="G2" s="3"/>
      <c r="H2" s="5"/>
    </row>
    <row r="3" spans="1:8" ht="15.75" x14ac:dyDescent="0.25">
      <c r="A3" s="273" t="s">
        <v>3</v>
      </c>
      <c r="B3" s="273"/>
      <c r="C3" s="273"/>
      <c r="D3" s="273"/>
      <c r="E3" s="273"/>
      <c r="F3" s="273"/>
      <c r="G3" s="273"/>
      <c r="H3" s="273"/>
    </row>
    <row r="4" spans="1:8" ht="15.75" x14ac:dyDescent="0.25">
      <c r="A4" s="6" t="s">
        <v>4</v>
      </c>
      <c r="B4" s="7" t="s">
        <v>5</v>
      </c>
      <c r="C4" s="7"/>
      <c r="D4" s="8"/>
      <c r="E4" s="291" t="s">
        <v>6</v>
      </c>
      <c r="F4" s="291"/>
      <c r="G4" s="291"/>
      <c r="H4" s="291"/>
    </row>
    <row r="5" spans="1:8" ht="15.75" x14ac:dyDescent="0.25">
      <c r="A5" s="6" t="s">
        <v>7</v>
      </c>
      <c r="B5" s="7" t="s">
        <v>8</v>
      </c>
      <c r="C5" s="7"/>
      <c r="D5" s="9"/>
      <c r="E5" s="291"/>
      <c r="F5" s="291"/>
      <c r="G5" s="291"/>
      <c r="H5" s="291"/>
    </row>
    <row r="6" spans="1:8" ht="15.75" x14ac:dyDescent="0.25">
      <c r="A6" s="6" t="s">
        <v>9</v>
      </c>
      <c r="B6" s="7" t="s">
        <v>10</v>
      </c>
      <c r="C6" s="7"/>
      <c r="D6" s="10"/>
      <c r="E6" s="291"/>
      <c r="F6" s="291"/>
      <c r="G6" s="291"/>
      <c r="H6" s="291"/>
    </row>
    <row r="7" spans="1:8" ht="15.75" x14ac:dyDescent="0.25">
      <c r="A7" s="292"/>
      <c r="B7" s="292"/>
      <c r="C7" s="292"/>
      <c r="D7" s="292"/>
      <c r="E7" s="11"/>
      <c r="F7" s="11"/>
      <c r="G7" s="11"/>
      <c r="H7" s="11"/>
    </row>
    <row r="8" spans="1:8" ht="15.75" x14ac:dyDescent="0.25">
      <c r="A8" s="273" t="s">
        <v>12</v>
      </c>
      <c r="B8" s="273"/>
      <c r="C8" s="273"/>
      <c r="D8" s="273"/>
      <c r="E8" s="273"/>
      <c r="F8" s="273"/>
      <c r="G8" s="273"/>
      <c r="H8" s="273"/>
    </row>
    <row r="9" spans="1:8" x14ac:dyDescent="0.25">
      <c r="A9" s="12" t="s">
        <v>4</v>
      </c>
      <c r="B9" s="13" t="s">
        <v>13</v>
      </c>
      <c r="C9" s="13"/>
      <c r="D9" s="296">
        <v>44301</v>
      </c>
      <c r="E9" s="285"/>
      <c r="F9" s="285"/>
      <c r="G9" s="285"/>
      <c r="H9" s="285"/>
    </row>
    <row r="10" spans="1:8" x14ac:dyDescent="0.25">
      <c r="A10" s="12" t="s">
        <v>7</v>
      </c>
      <c r="B10" s="13" t="s">
        <v>15</v>
      </c>
      <c r="C10" s="13"/>
      <c r="D10" s="293" t="s">
        <v>185</v>
      </c>
      <c r="E10" s="293"/>
      <c r="F10" s="293"/>
      <c r="G10" s="293"/>
      <c r="H10" s="293"/>
    </row>
    <row r="11" spans="1:8" x14ac:dyDescent="0.25">
      <c r="A11" s="12" t="s">
        <v>9</v>
      </c>
      <c r="B11" s="13" t="s">
        <v>16</v>
      </c>
      <c r="C11" s="13"/>
      <c r="D11" s="293" t="s">
        <v>264</v>
      </c>
      <c r="E11" s="293"/>
      <c r="F11" s="293"/>
      <c r="G11" s="293"/>
      <c r="H11" s="293"/>
    </row>
    <row r="12" spans="1:8" x14ac:dyDescent="0.25">
      <c r="A12" s="12" t="s">
        <v>17</v>
      </c>
      <c r="B12" s="13" t="s">
        <v>18</v>
      </c>
      <c r="C12" s="13"/>
      <c r="D12" s="293">
        <v>12</v>
      </c>
      <c r="E12" s="293"/>
      <c r="F12" s="293"/>
      <c r="G12" s="293"/>
      <c r="H12" s="293"/>
    </row>
    <row r="13" spans="1:8" x14ac:dyDescent="0.25">
      <c r="A13" s="12"/>
      <c r="B13" s="13"/>
      <c r="C13" s="13"/>
      <c r="D13" s="14"/>
      <c r="E13" s="14"/>
      <c r="F13" s="14"/>
      <c r="G13" s="14"/>
      <c r="H13" s="15"/>
    </row>
    <row r="14" spans="1:8" ht="15.75" x14ac:dyDescent="0.25">
      <c r="A14" s="273" t="s">
        <v>19</v>
      </c>
      <c r="B14" s="273"/>
      <c r="C14" s="273"/>
      <c r="D14" s="273"/>
      <c r="E14" s="273"/>
      <c r="F14" s="273"/>
      <c r="G14" s="273"/>
      <c r="H14" s="273"/>
    </row>
    <row r="15" spans="1:8" ht="15.75" x14ac:dyDescent="0.25">
      <c r="A15" s="12"/>
      <c r="B15" s="16" t="s">
        <v>20</v>
      </c>
      <c r="C15" s="16"/>
      <c r="D15" s="17" t="s">
        <v>21</v>
      </c>
      <c r="E15" s="294" t="s">
        <v>22</v>
      </c>
      <c r="F15" s="294"/>
      <c r="G15" s="294"/>
      <c r="H15" s="294"/>
    </row>
    <row r="16" spans="1:8" x14ac:dyDescent="0.25">
      <c r="A16" s="12" t="s">
        <v>4</v>
      </c>
      <c r="B16" s="18" t="s">
        <v>180</v>
      </c>
      <c r="C16" s="19"/>
      <c r="D16" s="20" t="s">
        <v>23</v>
      </c>
      <c r="E16" s="295">
        <v>1</v>
      </c>
      <c r="F16" s="295"/>
      <c r="G16" s="295"/>
      <c r="H16" s="295"/>
    </row>
    <row r="17" spans="1:8" x14ac:dyDescent="0.25">
      <c r="A17" s="12" t="s">
        <v>7</v>
      </c>
      <c r="B17" s="13"/>
      <c r="C17" s="13"/>
      <c r="D17" s="21"/>
      <c r="E17" s="283"/>
      <c r="F17" s="283"/>
      <c r="G17" s="283"/>
      <c r="H17" s="283"/>
    </row>
    <row r="18" spans="1:8" x14ac:dyDescent="0.25">
      <c r="A18" s="12" t="s">
        <v>9</v>
      </c>
      <c r="B18" s="13"/>
      <c r="C18" s="13"/>
      <c r="D18" s="21"/>
      <c r="E18" s="283"/>
      <c r="F18" s="283"/>
      <c r="G18" s="283"/>
      <c r="H18" s="283"/>
    </row>
    <row r="19" spans="1:8" ht="15.75" x14ac:dyDescent="0.25">
      <c r="A19" s="110"/>
      <c r="B19" s="273" t="s">
        <v>24</v>
      </c>
      <c r="C19" s="273"/>
      <c r="D19" s="273"/>
      <c r="E19" s="273"/>
      <c r="F19" s="273"/>
      <c r="G19" s="273"/>
      <c r="H19" s="273"/>
    </row>
    <row r="20" spans="1:8" ht="15.75" x14ac:dyDescent="0.25">
      <c r="A20" s="284" t="s">
        <v>25</v>
      </c>
      <c r="B20" s="284"/>
      <c r="C20" s="284"/>
      <c r="D20" s="284"/>
      <c r="E20" s="284"/>
      <c r="F20" s="284"/>
      <c r="G20" s="284"/>
      <c r="H20" s="284"/>
    </row>
    <row r="21" spans="1:8" x14ac:dyDescent="0.25">
      <c r="A21" s="12">
        <v>1</v>
      </c>
      <c r="B21" s="13" t="s">
        <v>20</v>
      </c>
      <c r="C21" s="13"/>
      <c r="D21" s="285" t="s">
        <v>259</v>
      </c>
      <c r="E21" s="285"/>
      <c r="F21" s="285"/>
      <c r="G21" s="285"/>
      <c r="H21" s="285"/>
    </row>
    <row r="22" spans="1:8" x14ac:dyDescent="0.25">
      <c r="A22" s="12">
        <v>2</v>
      </c>
      <c r="B22" s="13" t="s">
        <v>26</v>
      </c>
      <c r="C22" s="13"/>
      <c r="D22" s="286" t="s">
        <v>244</v>
      </c>
      <c r="E22" s="286"/>
      <c r="F22" s="286"/>
      <c r="G22" s="286"/>
      <c r="H22" s="286"/>
    </row>
    <row r="23" spans="1:8" x14ac:dyDescent="0.25">
      <c r="A23" s="12">
        <v>3</v>
      </c>
      <c r="B23" s="13" t="s">
        <v>27</v>
      </c>
      <c r="C23" s="13"/>
      <c r="D23" s="22">
        <v>1310.0899999999999</v>
      </c>
      <c r="E23" s="23"/>
      <c r="F23" s="23"/>
      <c r="G23" s="23"/>
      <c r="H23" s="23"/>
    </row>
    <row r="24" spans="1:8" ht="30" x14ac:dyDescent="0.25">
      <c r="A24" s="1">
        <v>4</v>
      </c>
      <c r="B24" s="24" t="s">
        <v>28</v>
      </c>
      <c r="C24" s="24"/>
      <c r="D24" s="287" t="s">
        <v>266</v>
      </c>
      <c r="E24" s="287"/>
      <c r="F24" s="287"/>
      <c r="G24" s="287"/>
      <c r="H24" s="287"/>
    </row>
    <row r="25" spans="1:8" x14ac:dyDescent="0.25">
      <c r="A25" s="1">
        <v>5</v>
      </c>
      <c r="B25" s="25" t="s">
        <v>29</v>
      </c>
      <c r="C25" s="25"/>
      <c r="D25" s="288" t="s">
        <v>265</v>
      </c>
      <c r="E25" s="288"/>
      <c r="F25" s="288"/>
      <c r="G25" s="288"/>
      <c r="H25" s="288"/>
    </row>
    <row r="26" spans="1:8" ht="15.75" x14ac:dyDescent="0.25">
      <c r="A26" s="189">
        <v>1</v>
      </c>
      <c r="B26" s="297" t="s">
        <v>30</v>
      </c>
      <c r="C26" s="297"/>
      <c r="D26" s="297"/>
      <c r="E26" s="297"/>
      <c r="F26" s="297"/>
      <c r="G26" s="297"/>
      <c r="H26" s="297"/>
    </row>
    <row r="27" spans="1:8" ht="15.75" x14ac:dyDescent="0.25">
      <c r="A27" s="175" t="s">
        <v>4</v>
      </c>
      <c r="B27" s="177" t="s">
        <v>31</v>
      </c>
      <c r="C27" s="177"/>
      <c r="D27" s="177"/>
      <c r="E27" s="206"/>
      <c r="F27" s="206"/>
      <c r="G27" s="178"/>
      <c r="H27" s="244">
        <f>D23</f>
        <v>1310.0899999999999</v>
      </c>
    </row>
    <row r="28" spans="1:8" ht="15.75" x14ac:dyDescent="0.25">
      <c r="A28" s="175" t="s">
        <v>7</v>
      </c>
      <c r="B28" s="177" t="s">
        <v>32</v>
      </c>
      <c r="C28" s="177"/>
      <c r="D28" s="245"/>
      <c r="E28" s="246">
        <v>0</v>
      </c>
      <c r="F28" s="206"/>
      <c r="G28" s="206"/>
      <c r="H28" s="247"/>
    </row>
    <row r="29" spans="1:8" ht="15.75" x14ac:dyDescent="0.25">
      <c r="A29" s="175" t="s">
        <v>9</v>
      </c>
      <c r="B29" s="177" t="s">
        <v>34</v>
      </c>
      <c r="C29" s="177"/>
      <c r="D29" s="248" t="s">
        <v>35</v>
      </c>
      <c r="E29" s="249" t="s">
        <v>36</v>
      </c>
      <c r="F29" s="248" t="s">
        <v>37</v>
      </c>
      <c r="G29" s="199"/>
      <c r="H29" s="247"/>
    </row>
    <row r="30" spans="1:8" ht="15.75" x14ac:dyDescent="0.25">
      <c r="A30" s="175" t="s">
        <v>17</v>
      </c>
      <c r="B30" s="177" t="s">
        <v>167</v>
      </c>
      <c r="C30" s="177"/>
      <c r="D30" s="248"/>
      <c r="E30" s="249"/>
      <c r="F30" s="248"/>
      <c r="G30" s="199"/>
      <c r="H30" s="247"/>
    </row>
    <row r="31" spans="1:8" ht="15.75" x14ac:dyDescent="0.25">
      <c r="A31" s="175" t="s">
        <v>40</v>
      </c>
      <c r="B31" s="177" t="s">
        <v>38</v>
      </c>
      <c r="C31" s="177"/>
      <c r="D31" s="245" t="s">
        <v>39</v>
      </c>
      <c r="E31" s="250">
        <v>0</v>
      </c>
      <c r="F31" s="251"/>
      <c r="G31" s="177"/>
      <c r="H31" s="252"/>
    </row>
    <row r="32" spans="1:8" ht="15.75" x14ac:dyDescent="0.25">
      <c r="A32" s="175" t="s">
        <v>42</v>
      </c>
      <c r="B32" s="177" t="s">
        <v>41</v>
      </c>
      <c r="C32" s="177"/>
      <c r="D32" s="206"/>
      <c r="E32" s="206"/>
      <c r="F32" s="206"/>
      <c r="G32" s="199"/>
      <c r="H32" s="252"/>
    </row>
    <row r="33" spans="1:9" ht="15.75" x14ac:dyDescent="0.25">
      <c r="A33" s="175" t="s">
        <v>61</v>
      </c>
      <c r="B33" s="177" t="s">
        <v>159</v>
      </c>
      <c r="C33" s="177"/>
      <c r="D33" s="206"/>
      <c r="E33" s="206"/>
      <c r="F33" s="206"/>
      <c r="G33" s="199"/>
      <c r="H33" s="252"/>
    </row>
    <row r="34" spans="1:9" ht="15.75" x14ac:dyDescent="0.25">
      <c r="A34" s="175" t="s">
        <v>43</v>
      </c>
      <c r="B34" s="177" t="s">
        <v>155</v>
      </c>
      <c r="C34" s="177"/>
      <c r="D34" s="206"/>
      <c r="E34" s="206"/>
      <c r="F34" s="206"/>
      <c r="G34" s="199"/>
      <c r="H34" s="252"/>
    </row>
    <row r="35" spans="1:9" ht="15.75" x14ac:dyDescent="0.25">
      <c r="A35" s="175" t="s">
        <v>161</v>
      </c>
      <c r="B35" s="176" t="s">
        <v>160</v>
      </c>
      <c r="C35" s="176"/>
      <c r="D35" s="206"/>
      <c r="E35" s="206"/>
      <c r="F35" s="206"/>
      <c r="G35" s="199"/>
      <c r="H35" s="252"/>
    </row>
    <row r="36" spans="1:9" ht="15.75" x14ac:dyDescent="0.25">
      <c r="A36" s="175" t="s">
        <v>165</v>
      </c>
      <c r="B36" s="176" t="s">
        <v>162</v>
      </c>
      <c r="C36" s="176"/>
      <c r="D36" s="206"/>
      <c r="E36" s="206"/>
      <c r="F36" s="206"/>
      <c r="G36" s="199"/>
      <c r="H36" s="252"/>
    </row>
    <row r="37" spans="1:9" ht="15.75" x14ac:dyDescent="0.25">
      <c r="A37" s="175" t="s">
        <v>166</v>
      </c>
      <c r="B37" s="177" t="s">
        <v>44</v>
      </c>
      <c r="C37" s="177"/>
      <c r="D37" s="177"/>
      <c r="E37" s="177"/>
      <c r="F37" s="199"/>
      <c r="G37" s="199"/>
      <c r="H37" s="199">
        <v>0</v>
      </c>
    </row>
    <row r="38" spans="1:9" ht="15.75" x14ac:dyDescent="0.25">
      <c r="A38" s="253"/>
      <c r="B38" s="185" t="s">
        <v>45</v>
      </c>
      <c r="C38" s="185"/>
      <c r="D38" s="186"/>
      <c r="E38" s="186"/>
      <c r="F38" s="187"/>
      <c r="G38" s="187"/>
      <c r="H38" s="188">
        <f>SUM(H27:H37)</f>
        <v>1310.0899999999999</v>
      </c>
    </row>
    <row r="39" spans="1:9" ht="15.75" x14ac:dyDescent="0.25">
      <c r="A39" s="173">
        <v>2</v>
      </c>
      <c r="B39" s="302" t="s">
        <v>46</v>
      </c>
      <c r="C39" s="302"/>
      <c r="D39" s="302"/>
      <c r="E39" s="302"/>
      <c r="F39" s="302"/>
      <c r="G39" s="302"/>
      <c r="H39" s="302"/>
    </row>
    <row r="40" spans="1:9" ht="15.75" x14ac:dyDescent="0.25">
      <c r="A40" s="174" t="s">
        <v>47</v>
      </c>
      <c r="B40" s="303" t="s">
        <v>48</v>
      </c>
      <c r="C40" s="303"/>
      <c r="D40" s="303"/>
      <c r="E40" s="303"/>
      <c r="F40" s="303"/>
      <c r="G40" s="303"/>
      <c r="H40" s="303"/>
    </row>
    <row r="41" spans="1:9" ht="15.75" x14ac:dyDescent="0.25">
      <c r="A41" s="175" t="s">
        <v>4</v>
      </c>
      <c r="B41" s="176" t="s">
        <v>49</v>
      </c>
      <c r="C41" s="176"/>
      <c r="D41" s="176"/>
      <c r="E41" s="177"/>
      <c r="F41" s="178"/>
      <c r="G41" s="179">
        <v>8.3299999999999999E-2</v>
      </c>
      <c r="H41" s="178">
        <f>SUM($H$38*G41)</f>
        <v>109.13049699999999</v>
      </c>
    </row>
    <row r="42" spans="1:9" ht="15.75" x14ac:dyDescent="0.25">
      <c r="A42" s="175" t="s">
        <v>7</v>
      </c>
      <c r="B42" s="177" t="s">
        <v>50</v>
      </c>
      <c r="C42" s="177"/>
      <c r="D42" s="177"/>
      <c r="E42" s="177"/>
      <c r="F42" s="180"/>
      <c r="G42" s="181">
        <v>0.121</v>
      </c>
      <c r="H42" s="178">
        <f>SUM($H$38*G42)</f>
        <v>158.52088999999998</v>
      </c>
    </row>
    <row r="43" spans="1:9" ht="15.75" x14ac:dyDescent="0.25">
      <c r="A43" s="1" t="s">
        <v>9</v>
      </c>
      <c r="B43" s="48" t="s">
        <v>51</v>
      </c>
      <c r="C43" s="182"/>
      <c r="D43" s="177"/>
      <c r="E43" s="177"/>
      <c r="F43" s="180"/>
      <c r="G43" s="181">
        <f>SUM(G41:G42)*G54</f>
        <v>7.518240000000001E-2</v>
      </c>
      <c r="H43" s="178">
        <f>SUM($H$38*G43)</f>
        <v>98.495710416000009</v>
      </c>
    </row>
    <row r="44" spans="1:9" ht="15.75" x14ac:dyDescent="0.25">
      <c r="A44" s="183"/>
      <c r="B44" s="184" t="s">
        <v>45</v>
      </c>
      <c r="C44" s="185"/>
      <c r="D44" s="186"/>
      <c r="E44" s="186"/>
      <c r="F44" s="187"/>
      <c r="G44" s="187"/>
      <c r="H44" s="188">
        <f>SUM(H41:H43)</f>
        <v>366.14709741600001</v>
      </c>
    </row>
    <row r="45" spans="1:9" ht="15.75" x14ac:dyDescent="0.25">
      <c r="A45" s="189" t="s">
        <v>52</v>
      </c>
      <c r="B45" s="297" t="s">
        <v>53</v>
      </c>
      <c r="C45" s="297"/>
      <c r="D45" s="297"/>
      <c r="E45" s="297"/>
      <c r="F45" s="297"/>
      <c r="G45" s="297"/>
      <c r="H45" s="297"/>
    </row>
    <row r="46" spans="1:9" ht="15.75" x14ac:dyDescent="0.25">
      <c r="A46" s="175" t="s">
        <v>4</v>
      </c>
      <c r="B46" s="182" t="s">
        <v>54</v>
      </c>
      <c r="C46" s="182"/>
      <c r="D46" s="177"/>
      <c r="E46" s="177"/>
      <c r="F46" s="178"/>
      <c r="G46" s="179">
        <v>0.2</v>
      </c>
      <c r="H46" s="178">
        <f>SUM($H$38*G46)</f>
        <v>262.01799999999997</v>
      </c>
    </row>
    <row r="47" spans="1:9" ht="15.75" x14ac:dyDescent="0.25">
      <c r="A47" s="175" t="s">
        <v>7</v>
      </c>
      <c r="B47" s="182" t="s">
        <v>55</v>
      </c>
      <c r="C47" s="182"/>
      <c r="D47" s="301" t="s">
        <v>56</v>
      </c>
      <c r="E47" s="301"/>
      <c r="F47" s="178"/>
      <c r="G47" s="163">
        <v>1.4999999999999999E-2</v>
      </c>
      <c r="H47" s="178">
        <f t="shared" ref="H47:H53" si="0">SUM($H$38*G47)</f>
        <v>19.651349999999997</v>
      </c>
      <c r="I47" s="115"/>
    </row>
    <row r="48" spans="1:9" ht="15.75" x14ac:dyDescent="0.25">
      <c r="A48" s="175" t="s">
        <v>9</v>
      </c>
      <c r="B48" s="182" t="s">
        <v>57</v>
      </c>
      <c r="C48" s="182"/>
      <c r="D48" s="301"/>
      <c r="E48" s="301"/>
      <c r="F48" s="178"/>
      <c r="G48" s="163">
        <v>0.01</v>
      </c>
      <c r="H48" s="178">
        <f t="shared" si="0"/>
        <v>13.100899999999999</v>
      </c>
    </row>
    <row r="49" spans="1:13" ht="15.75" x14ac:dyDescent="0.25">
      <c r="A49" s="175" t="s">
        <v>17</v>
      </c>
      <c r="B49" s="182" t="s">
        <v>58</v>
      </c>
      <c r="C49" s="182"/>
      <c r="D49" s="177"/>
      <c r="E49" s="177"/>
      <c r="F49" s="178"/>
      <c r="G49" s="163">
        <v>2E-3</v>
      </c>
      <c r="H49" s="178">
        <f t="shared" si="0"/>
        <v>2.62018</v>
      </c>
    </row>
    <row r="50" spans="1:13" ht="15.75" x14ac:dyDescent="0.25">
      <c r="A50" s="175" t="s">
        <v>40</v>
      </c>
      <c r="B50" s="182" t="s">
        <v>59</v>
      </c>
      <c r="C50" s="182"/>
      <c r="D50" s="177"/>
      <c r="E50" s="177"/>
      <c r="F50" s="178"/>
      <c r="G50" s="163">
        <v>2.5000000000000001E-2</v>
      </c>
      <c r="H50" s="178">
        <f>SUM($H$38*G50)</f>
        <v>32.752249999999997</v>
      </c>
    </row>
    <row r="51" spans="1:13" ht="15.75" x14ac:dyDescent="0.25">
      <c r="A51" s="175" t="s">
        <v>42</v>
      </c>
      <c r="B51" s="182" t="s">
        <v>60</v>
      </c>
      <c r="C51" s="182"/>
      <c r="D51" s="177"/>
      <c r="E51" s="177"/>
      <c r="F51" s="178"/>
      <c r="G51" s="179">
        <v>0.08</v>
      </c>
      <c r="H51" s="178">
        <f t="shared" si="0"/>
        <v>104.80719999999999</v>
      </c>
    </row>
    <row r="52" spans="1:13" ht="15.75" x14ac:dyDescent="0.25">
      <c r="A52" s="190" t="s">
        <v>61</v>
      </c>
      <c r="B52" s="191" t="s">
        <v>62</v>
      </c>
      <c r="C52" s="191"/>
      <c r="D52" s="192"/>
      <c r="E52" s="192"/>
      <c r="F52" s="192"/>
      <c r="G52" s="164">
        <v>0.03</v>
      </c>
      <c r="H52" s="193">
        <f t="shared" si="0"/>
        <v>39.302699999999994</v>
      </c>
    </row>
    <row r="53" spans="1:13" ht="15.75" x14ac:dyDescent="0.25">
      <c r="A53" s="175" t="s">
        <v>43</v>
      </c>
      <c r="B53" s="182" t="s">
        <v>63</v>
      </c>
      <c r="C53" s="182"/>
      <c r="D53" s="177"/>
      <c r="E53" s="177"/>
      <c r="F53" s="178"/>
      <c r="G53" s="163">
        <v>6.0000000000000001E-3</v>
      </c>
      <c r="H53" s="178">
        <f t="shared" si="0"/>
        <v>7.8605399999999994</v>
      </c>
      <c r="I53" s="121"/>
    </row>
    <row r="54" spans="1:13" ht="15.75" x14ac:dyDescent="0.25">
      <c r="A54" s="184"/>
      <c r="B54" s="185" t="s">
        <v>45</v>
      </c>
      <c r="C54" s="185"/>
      <c r="D54" s="185"/>
      <c r="E54" s="185"/>
      <c r="F54" s="194"/>
      <c r="G54" s="195">
        <f>SUM(G46:G53)</f>
        <v>0.3680000000000001</v>
      </c>
      <c r="H54" s="196">
        <f>SUM(H46:H53)</f>
        <v>482.11312000000004</v>
      </c>
    </row>
    <row r="55" spans="1:13" ht="15.75" x14ac:dyDescent="0.25">
      <c r="A55" s="189" t="s">
        <v>64</v>
      </c>
      <c r="B55" s="297" t="s">
        <v>65</v>
      </c>
      <c r="C55" s="297"/>
      <c r="D55" s="297"/>
      <c r="E55" s="297"/>
      <c r="F55" s="297"/>
      <c r="G55" s="297"/>
      <c r="H55" s="297"/>
    </row>
    <row r="56" spans="1:13" ht="15.75" x14ac:dyDescent="0.25">
      <c r="A56" s="177" t="s">
        <v>66</v>
      </c>
      <c r="B56" s="197"/>
      <c r="C56" s="197"/>
      <c r="D56" s="198" t="s">
        <v>67</v>
      </c>
      <c r="E56" s="198" t="s">
        <v>68</v>
      </c>
      <c r="F56" s="198" t="s">
        <v>69</v>
      </c>
      <c r="G56" s="198" t="s">
        <v>70</v>
      </c>
      <c r="H56" s="177"/>
    </row>
    <row r="57" spans="1:13" ht="15.75" x14ac:dyDescent="0.25">
      <c r="A57" s="304" t="s">
        <v>4</v>
      </c>
      <c r="B57" s="177" t="s">
        <v>71</v>
      </c>
      <c r="C57" s="177"/>
      <c r="D57" s="298"/>
      <c r="E57" s="299"/>
      <c r="F57" s="300"/>
      <c r="G57" s="305"/>
      <c r="H57" s="199">
        <f>F57*E57*D57</f>
        <v>0</v>
      </c>
      <c r="I57" t="s">
        <v>256</v>
      </c>
    </row>
    <row r="58" spans="1:13" ht="15.75" x14ac:dyDescent="0.25">
      <c r="A58" s="304"/>
      <c r="B58" s="177" t="s">
        <v>72</v>
      </c>
      <c r="C58" s="177"/>
      <c r="D58" s="298"/>
      <c r="E58" s="298"/>
      <c r="F58" s="298"/>
      <c r="G58" s="298"/>
      <c r="H58" s="199">
        <f>H27*G57</f>
        <v>0</v>
      </c>
    </row>
    <row r="59" spans="1:13" ht="15.75" x14ac:dyDescent="0.25">
      <c r="A59" s="304"/>
      <c r="B59" s="176" t="s">
        <v>73</v>
      </c>
      <c r="C59" s="176"/>
      <c r="D59" s="176"/>
      <c r="E59" s="177"/>
      <c r="F59" s="177"/>
      <c r="G59" s="200"/>
      <c r="H59" s="199">
        <f>H57-H58</f>
        <v>0</v>
      </c>
    </row>
    <row r="60" spans="1:13" ht="15.75" x14ac:dyDescent="0.25">
      <c r="A60" s="304" t="s">
        <v>7</v>
      </c>
      <c r="B60" s="177" t="s">
        <v>74</v>
      </c>
      <c r="C60" s="177"/>
      <c r="D60" s="298">
        <v>1</v>
      </c>
      <c r="E60" s="299">
        <v>1</v>
      </c>
      <c r="F60" s="300">
        <v>0</v>
      </c>
      <c r="G60" s="305">
        <v>0.2</v>
      </c>
      <c r="H60" s="199">
        <f>F60*E60*D60</f>
        <v>0</v>
      </c>
    </row>
    <row r="61" spans="1:13" ht="15.75" x14ac:dyDescent="0.25">
      <c r="A61" s="304"/>
      <c r="B61" s="177" t="s">
        <v>72</v>
      </c>
      <c r="C61" s="177"/>
      <c r="D61" s="298"/>
      <c r="E61" s="298"/>
      <c r="F61" s="298"/>
      <c r="G61" s="298"/>
      <c r="H61" s="199">
        <f>H60*G60</f>
        <v>0</v>
      </c>
    </row>
    <row r="62" spans="1:13" ht="15.75" x14ac:dyDescent="0.25">
      <c r="A62" s="304"/>
      <c r="B62" s="306" t="s">
        <v>75</v>
      </c>
      <c r="C62" s="306"/>
      <c r="D62" s="306"/>
      <c r="E62" s="306"/>
      <c r="F62" s="201"/>
      <c r="G62" s="201"/>
      <c r="H62" s="199">
        <f>H60-H61</f>
        <v>0</v>
      </c>
    </row>
    <row r="63" spans="1:13" ht="15.75" x14ac:dyDescent="0.25">
      <c r="A63" s="202" t="s">
        <v>9</v>
      </c>
      <c r="B63" s="306" t="s">
        <v>267</v>
      </c>
      <c r="C63" s="306"/>
      <c r="D63" s="306"/>
      <c r="E63" s="306"/>
      <c r="F63" s="201"/>
      <c r="G63" s="201"/>
      <c r="H63" s="199">
        <v>100</v>
      </c>
    </row>
    <row r="64" spans="1:13" ht="15.75" x14ac:dyDescent="0.25">
      <c r="A64" s="202" t="s">
        <v>17</v>
      </c>
      <c r="B64" s="203" t="s">
        <v>250</v>
      </c>
      <c r="C64" s="203"/>
      <c r="D64" s="203"/>
      <c r="E64" s="203" t="s">
        <v>163</v>
      </c>
      <c r="F64" s="201"/>
      <c r="G64" s="201"/>
      <c r="H64" s="199">
        <v>11</v>
      </c>
      <c r="J64" s="125"/>
      <c r="K64" s="13"/>
      <c r="L64" s="13"/>
      <c r="M64" s="35">
        <v>0</v>
      </c>
    </row>
    <row r="65" spans="1:13" ht="15.75" x14ac:dyDescent="0.25">
      <c r="A65" s="202" t="s">
        <v>40</v>
      </c>
      <c r="B65" s="204" t="s">
        <v>223</v>
      </c>
      <c r="C65" s="203"/>
      <c r="D65" s="203"/>
      <c r="E65" s="203"/>
      <c r="F65" s="201"/>
      <c r="G65" s="201"/>
      <c r="H65" s="199">
        <v>4.0599999999999996</v>
      </c>
      <c r="J65" s="149"/>
      <c r="K65" s="13"/>
      <c r="L65" s="13"/>
      <c r="M65" s="35"/>
    </row>
    <row r="66" spans="1:13" ht="15.75" x14ac:dyDescent="0.25">
      <c r="A66" s="202" t="s">
        <v>40</v>
      </c>
      <c r="B66" s="204" t="s">
        <v>268</v>
      </c>
      <c r="C66" s="204"/>
      <c r="D66" s="204"/>
      <c r="E66" s="205">
        <v>0</v>
      </c>
      <c r="F66" s="206"/>
      <c r="G66" s="206"/>
      <c r="H66" s="199">
        <v>0</v>
      </c>
    </row>
    <row r="67" spans="1:13" ht="15.75" x14ac:dyDescent="0.25">
      <c r="A67" s="207"/>
      <c r="B67" s="307" t="s">
        <v>45</v>
      </c>
      <c r="C67" s="307"/>
      <c r="D67" s="307"/>
      <c r="E67" s="307"/>
      <c r="F67" s="208"/>
      <c r="G67" s="208"/>
      <c r="H67" s="209">
        <f>H59+H62+H63+H64+H65+H66</f>
        <v>115.06</v>
      </c>
    </row>
    <row r="68" spans="1:13" ht="15.75" x14ac:dyDescent="0.25">
      <c r="A68" s="297" t="s">
        <v>79</v>
      </c>
      <c r="B68" s="297"/>
      <c r="C68" s="297"/>
      <c r="D68" s="297"/>
      <c r="E68" s="297"/>
      <c r="F68" s="297"/>
      <c r="G68" s="297"/>
      <c r="H68" s="297"/>
    </row>
    <row r="69" spans="1:13" ht="15.75" x14ac:dyDescent="0.25">
      <c r="A69" s="202" t="s">
        <v>47</v>
      </c>
      <c r="B69" s="176" t="s">
        <v>80</v>
      </c>
      <c r="C69" s="176"/>
      <c r="D69" s="210"/>
      <c r="E69" s="210"/>
      <c r="F69" s="201"/>
      <c r="G69" s="201"/>
      <c r="H69" s="211">
        <f>H44</f>
        <v>366.14709741600001</v>
      </c>
    </row>
    <row r="70" spans="1:13" ht="15.75" x14ac:dyDescent="0.25">
      <c r="A70" s="202" t="s">
        <v>52</v>
      </c>
      <c r="B70" s="176" t="s">
        <v>81</v>
      </c>
      <c r="C70" s="176"/>
      <c r="D70" s="210"/>
      <c r="E70" s="210"/>
      <c r="F70" s="201"/>
      <c r="G70" s="201"/>
      <c r="H70" s="211">
        <f>H54</f>
        <v>482.11312000000004</v>
      </c>
    </row>
    <row r="71" spans="1:13" ht="15.75" x14ac:dyDescent="0.25">
      <c r="A71" s="202" t="s">
        <v>64</v>
      </c>
      <c r="B71" s="176" t="s">
        <v>82</v>
      </c>
      <c r="C71" s="176"/>
      <c r="D71" s="210"/>
      <c r="E71" s="210"/>
      <c r="F71" s="201"/>
      <c r="G71" s="201"/>
      <c r="H71" s="211">
        <f>H67</f>
        <v>115.06</v>
      </c>
    </row>
    <row r="72" spans="1:13" ht="15.75" x14ac:dyDescent="0.25">
      <c r="A72" s="207"/>
      <c r="B72" s="212" t="s">
        <v>45</v>
      </c>
      <c r="C72" s="212"/>
      <c r="D72" s="212"/>
      <c r="E72" s="212"/>
      <c r="F72" s="208"/>
      <c r="G72" s="208"/>
      <c r="H72" s="209">
        <f>SUM(H69:H71)</f>
        <v>963.32021741600011</v>
      </c>
    </row>
    <row r="73" spans="1:13" ht="15.75" x14ac:dyDescent="0.25">
      <c r="A73" s="213">
        <v>3</v>
      </c>
      <c r="B73" s="297" t="s">
        <v>83</v>
      </c>
      <c r="C73" s="297"/>
      <c r="D73" s="297"/>
      <c r="E73" s="297"/>
      <c r="F73" s="297"/>
      <c r="G73" s="297"/>
      <c r="H73" s="297"/>
    </row>
    <row r="74" spans="1:13" ht="15.75" x14ac:dyDescent="0.25">
      <c r="A74" s="175" t="s">
        <v>4</v>
      </c>
      <c r="B74" s="182" t="s">
        <v>84</v>
      </c>
      <c r="C74" s="182"/>
      <c r="D74" s="214"/>
      <c r="E74" s="214"/>
      <c r="F74" s="214"/>
      <c r="G74" s="179">
        <f>1/12*5%</f>
        <v>4.1666666666666666E-3</v>
      </c>
      <c r="H74" s="178">
        <f>SUM($H$38*G74)</f>
        <v>5.4587083333333331</v>
      </c>
      <c r="I74" s="115"/>
    </row>
    <row r="75" spans="1:13" ht="15.75" x14ac:dyDescent="0.25">
      <c r="A75" s="175" t="s">
        <v>7</v>
      </c>
      <c r="B75" s="182" t="s">
        <v>85</v>
      </c>
      <c r="C75" s="182"/>
      <c r="D75" s="177"/>
      <c r="E75" s="177"/>
      <c r="F75" s="178"/>
      <c r="G75" s="179">
        <f>G74*0.08</f>
        <v>3.3333333333333332E-4</v>
      </c>
      <c r="H75" s="178">
        <f>SUM($H$38*G75)</f>
        <v>0.43669666666666662</v>
      </c>
    </row>
    <row r="76" spans="1:13" ht="15.75" x14ac:dyDescent="0.25">
      <c r="A76" s="175" t="s">
        <v>9</v>
      </c>
      <c r="B76" s="182" t="s">
        <v>86</v>
      </c>
      <c r="C76" s="182"/>
      <c r="D76" s="215"/>
      <c r="E76" s="215"/>
      <c r="F76" s="215"/>
      <c r="G76" s="165">
        <f>(0.08*0.4*0.9)*(1+0.0833+0.121)</f>
        <v>3.4683840000000001E-2</v>
      </c>
      <c r="H76" s="216">
        <f>(ROUND(SUM($H$38*G76),2))</f>
        <v>45.44</v>
      </c>
    </row>
    <row r="77" spans="1:13" ht="15.75" x14ac:dyDescent="0.25">
      <c r="A77" s="175" t="s">
        <v>17</v>
      </c>
      <c r="B77" s="177" t="s">
        <v>87</v>
      </c>
      <c r="C77" s="177"/>
      <c r="D77" s="214"/>
      <c r="E77" s="214"/>
      <c r="F77" s="214"/>
      <c r="G77" s="179">
        <v>1.9400000000000001E-2</v>
      </c>
      <c r="H77" s="178">
        <f>SUM($H$38*G77)</f>
        <v>25.415745999999999</v>
      </c>
      <c r="I77" s="115"/>
    </row>
    <row r="78" spans="1:13" ht="15.75" x14ac:dyDescent="0.25">
      <c r="A78" s="175" t="s">
        <v>40</v>
      </c>
      <c r="B78" s="182" t="s">
        <v>225</v>
      </c>
      <c r="C78" s="182"/>
      <c r="D78" s="177"/>
      <c r="E78" s="177"/>
      <c r="F78" s="178"/>
      <c r="G78" s="179">
        <f>G77*G54</f>
        <v>7.1392000000000027E-3</v>
      </c>
      <c r="H78" s="178">
        <f>SUM($H$38*G78)</f>
        <v>9.3529945280000035</v>
      </c>
    </row>
    <row r="79" spans="1:13" ht="15.75" x14ac:dyDescent="0.25">
      <c r="A79" s="175" t="s">
        <v>42</v>
      </c>
      <c r="B79" s="177" t="s">
        <v>89</v>
      </c>
      <c r="C79" s="177"/>
      <c r="D79" s="215"/>
      <c r="E79" s="215"/>
      <c r="F79" s="215"/>
      <c r="G79" s="163">
        <f>4%-G76</f>
        <v>5.3161600000000003E-3</v>
      </c>
      <c r="H79" s="178">
        <f>SUM($H$38*G79)</f>
        <v>6.9646480543999996</v>
      </c>
    </row>
    <row r="80" spans="1:13" ht="15.75" x14ac:dyDescent="0.25">
      <c r="A80" s="217"/>
      <c r="B80" s="185" t="s">
        <v>45</v>
      </c>
      <c r="C80" s="185"/>
      <c r="D80" s="186"/>
      <c r="E80" s="186"/>
      <c r="F80" s="218"/>
      <c r="G80" s="195">
        <f>SUM(G74:G79)</f>
        <v>7.1039199999999997E-2</v>
      </c>
      <c r="H80" s="196">
        <f>SUM(H74:H79)</f>
        <v>93.068793582400005</v>
      </c>
    </row>
    <row r="81" spans="1:9" ht="15.75" x14ac:dyDescent="0.25">
      <c r="A81" s="173">
        <v>4</v>
      </c>
      <c r="B81" s="308" t="s">
        <v>90</v>
      </c>
      <c r="C81" s="308"/>
      <c r="D81" s="308"/>
      <c r="E81" s="308"/>
      <c r="F81" s="308"/>
      <c r="G81" s="308"/>
      <c r="H81" s="308"/>
    </row>
    <row r="82" spans="1:9" ht="15.75" x14ac:dyDescent="0.25">
      <c r="A82" s="219" t="s">
        <v>91</v>
      </c>
      <c r="B82" s="297" t="s">
        <v>236</v>
      </c>
      <c r="C82" s="297"/>
      <c r="D82" s="297"/>
      <c r="E82" s="297"/>
      <c r="F82" s="297"/>
      <c r="G82" s="297"/>
      <c r="H82" s="297"/>
    </row>
    <row r="83" spans="1:9" ht="15.75" x14ac:dyDescent="0.25">
      <c r="A83" s="175" t="s">
        <v>4</v>
      </c>
      <c r="B83" s="182" t="s">
        <v>226</v>
      </c>
      <c r="C83" s="182"/>
      <c r="D83" s="214"/>
      <c r="E83" s="214"/>
      <c r="F83" s="214"/>
      <c r="G83" s="179"/>
      <c r="H83" s="178"/>
    </row>
    <row r="84" spans="1:9" ht="15.75" x14ac:dyDescent="0.25">
      <c r="A84" s="220" t="s">
        <v>7</v>
      </c>
      <c r="B84" s="182" t="s">
        <v>227</v>
      </c>
      <c r="C84" s="309" t="s">
        <v>95</v>
      </c>
      <c r="D84" s="168">
        <v>5.96</v>
      </c>
      <c r="E84" s="309" t="s">
        <v>96</v>
      </c>
      <c r="F84" s="170">
        <v>1</v>
      </c>
      <c r="G84" s="179">
        <f t="shared" ref="G84:G89" si="1">D84/360*F84</f>
        <v>1.6555555555555556E-2</v>
      </c>
      <c r="H84" s="178">
        <f t="shared" ref="H84:H88" si="2">SUM(H$38*G84)</f>
        <v>21.689267777777776</v>
      </c>
    </row>
    <row r="85" spans="1:9" ht="15.75" x14ac:dyDescent="0.25">
      <c r="A85" s="175" t="s">
        <v>9</v>
      </c>
      <c r="B85" s="182" t="s">
        <v>228</v>
      </c>
      <c r="C85" s="309"/>
      <c r="D85" s="168">
        <v>5</v>
      </c>
      <c r="E85" s="309"/>
      <c r="F85" s="170">
        <v>1.4999999999999999E-2</v>
      </c>
      <c r="G85" s="179">
        <f t="shared" si="1"/>
        <v>2.0833333333333332E-4</v>
      </c>
      <c r="H85" s="178">
        <f t="shared" si="2"/>
        <v>0.27293541666666665</v>
      </c>
    </row>
    <row r="86" spans="1:9" ht="15.75" x14ac:dyDescent="0.25">
      <c r="A86" s="175" t="s">
        <v>17</v>
      </c>
      <c r="B86" s="182" t="s">
        <v>229</v>
      </c>
      <c r="C86" s="309"/>
      <c r="D86" s="168">
        <v>15</v>
      </c>
      <c r="E86" s="309"/>
      <c r="F86" s="171">
        <v>6.7999999999999996E-3</v>
      </c>
      <c r="G86" s="179">
        <f t="shared" si="1"/>
        <v>2.833333333333333E-4</v>
      </c>
      <c r="H86" s="178">
        <f t="shared" si="2"/>
        <v>0.3711921666666666</v>
      </c>
    </row>
    <row r="87" spans="1:9" ht="15.75" x14ac:dyDescent="0.25">
      <c r="A87" s="175" t="s">
        <v>40</v>
      </c>
      <c r="B87" s="182" t="s">
        <v>230</v>
      </c>
      <c r="C87" s="309"/>
      <c r="D87" s="168">
        <v>120</v>
      </c>
      <c r="E87" s="309"/>
      <c r="F87" s="170">
        <v>1.8599999999999998E-2</v>
      </c>
      <c r="G87" s="179">
        <v>5.9999999999999995E-4</v>
      </c>
      <c r="H87" s="178">
        <f t="shared" si="2"/>
        <v>0.78605399999999992</v>
      </c>
    </row>
    <row r="88" spans="1:9" ht="15.75" x14ac:dyDescent="0.25">
      <c r="A88" s="175" t="s">
        <v>42</v>
      </c>
      <c r="B88" s="182" t="s">
        <v>101</v>
      </c>
      <c r="C88" s="309"/>
      <c r="D88" s="169"/>
      <c r="E88" s="309"/>
      <c r="F88" s="172"/>
      <c r="G88" s="179">
        <f t="shared" si="1"/>
        <v>0</v>
      </c>
      <c r="H88" s="221">
        <f t="shared" si="2"/>
        <v>0</v>
      </c>
    </row>
    <row r="89" spans="1:9" ht="15.75" x14ac:dyDescent="0.25">
      <c r="A89" s="175" t="s">
        <v>61</v>
      </c>
      <c r="B89" s="182"/>
      <c r="C89" s="309"/>
      <c r="D89" s="169"/>
      <c r="E89" s="309"/>
      <c r="F89" s="222"/>
      <c r="G89" s="179">
        <f t="shared" si="1"/>
        <v>0</v>
      </c>
      <c r="H89" s="221"/>
    </row>
    <row r="90" spans="1:9" ht="15.75" x14ac:dyDescent="0.25">
      <c r="A90" s="201"/>
      <c r="B90" s="177" t="s">
        <v>102</v>
      </c>
      <c r="C90" s="177"/>
      <c r="D90" s="177"/>
      <c r="E90" s="177"/>
      <c r="F90" s="178"/>
      <c r="G90" s="179">
        <f>SUM(G83:G89)</f>
        <v>1.7647222222222224E-2</v>
      </c>
      <c r="H90" s="178">
        <f>SUM(H83:H89)</f>
        <v>23.119449361111108</v>
      </c>
      <c r="I90" s="115"/>
    </row>
    <row r="91" spans="1:9" ht="15.75" x14ac:dyDescent="0.25">
      <c r="A91" s="175" t="s">
        <v>42</v>
      </c>
      <c r="B91" s="182" t="s">
        <v>103</v>
      </c>
      <c r="C91" s="182"/>
      <c r="D91" s="177"/>
      <c r="E91" s="177"/>
      <c r="F91" s="178"/>
      <c r="G91" s="179">
        <v>0</v>
      </c>
      <c r="H91" s="178">
        <v>0</v>
      </c>
    </row>
    <row r="92" spans="1:9" ht="15.75" x14ac:dyDescent="0.25">
      <c r="A92" s="217"/>
      <c r="B92" s="185" t="s">
        <v>45</v>
      </c>
      <c r="C92" s="185"/>
      <c r="D92" s="186"/>
      <c r="E92" s="186"/>
      <c r="F92" s="218"/>
      <c r="G92" s="195">
        <f>G91+G90</f>
        <v>1.7647222222222224E-2</v>
      </c>
      <c r="H92" s="196">
        <f>SUM(H90:H91)</f>
        <v>23.119449361111108</v>
      </c>
    </row>
    <row r="93" spans="1:9" ht="15.75" x14ac:dyDescent="0.25">
      <c r="A93" s="219" t="s">
        <v>104</v>
      </c>
      <c r="B93" s="297" t="s">
        <v>232</v>
      </c>
      <c r="C93" s="297"/>
      <c r="D93" s="297"/>
      <c r="E93" s="297"/>
      <c r="F93" s="297"/>
      <c r="G93" s="297"/>
      <c r="H93" s="297"/>
    </row>
    <row r="94" spans="1:9" ht="15.75" x14ac:dyDescent="0.25">
      <c r="A94" s="175" t="s">
        <v>4</v>
      </c>
      <c r="B94" s="182" t="s">
        <v>234</v>
      </c>
      <c r="C94" s="182"/>
      <c r="D94" s="214"/>
      <c r="E94" s="214"/>
      <c r="F94" s="214"/>
      <c r="G94" s="163">
        <v>0</v>
      </c>
      <c r="H94" s="178">
        <f>SUM(H$38*G94)</f>
        <v>0</v>
      </c>
    </row>
    <row r="95" spans="1:9" ht="15.75" x14ac:dyDescent="0.25">
      <c r="A95" s="175" t="s">
        <v>7</v>
      </c>
      <c r="B95" s="182" t="s">
        <v>107</v>
      </c>
      <c r="C95" s="182"/>
      <c r="D95" s="214"/>
      <c r="E95" s="214"/>
      <c r="F95" s="214"/>
      <c r="G95" s="179">
        <f>G94*G54</f>
        <v>0</v>
      </c>
      <c r="H95" s="178">
        <f>SUM($H$38*G95)</f>
        <v>0</v>
      </c>
    </row>
    <row r="96" spans="1:9" ht="15.75" x14ac:dyDescent="0.25">
      <c r="A96" s="217"/>
      <c r="B96" s="185" t="s">
        <v>45</v>
      </c>
      <c r="C96" s="185"/>
      <c r="D96" s="186"/>
      <c r="E96" s="186"/>
      <c r="F96" s="218"/>
      <c r="G96" s="195">
        <f>G95+G94</f>
        <v>0</v>
      </c>
      <c r="H96" s="196">
        <f>SUM(H94:H95)</f>
        <v>0</v>
      </c>
    </row>
    <row r="97" spans="1:10" ht="15.75" x14ac:dyDescent="0.25">
      <c r="A97" s="297" t="s">
        <v>108</v>
      </c>
      <c r="B97" s="297"/>
      <c r="C97" s="297"/>
      <c r="D97" s="297"/>
      <c r="E97" s="297"/>
      <c r="F97" s="297"/>
      <c r="G97" s="297"/>
      <c r="H97" s="297"/>
    </row>
    <row r="98" spans="1:10" ht="15.75" x14ac:dyDescent="0.25">
      <c r="A98" s="175" t="s">
        <v>91</v>
      </c>
      <c r="B98" s="182" t="s">
        <v>235</v>
      </c>
      <c r="C98" s="182"/>
      <c r="D98" s="214"/>
      <c r="E98" s="214"/>
      <c r="F98" s="214"/>
      <c r="G98" s="179">
        <f>G92</f>
        <v>1.7647222222222224E-2</v>
      </c>
      <c r="H98" s="178">
        <f>H92</f>
        <v>23.119449361111108</v>
      </c>
    </row>
    <row r="99" spans="1:10" ht="15.75" x14ac:dyDescent="0.25">
      <c r="A99" s="175" t="s">
        <v>104</v>
      </c>
      <c r="B99" s="182" t="s">
        <v>233</v>
      </c>
      <c r="C99" s="182"/>
      <c r="D99" s="214"/>
      <c r="E99" s="214"/>
      <c r="F99" s="214"/>
      <c r="G99" s="179">
        <f>G96</f>
        <v>0</v>
      </c>
      <c r="H99" s="178">
        <f>H96</f>
        <v>0</v>
      </c>
    </row>
    <row r="100" spans="1:10" ht="15.75" x14ac:dyDescent="0.25">
      <c r="A100" s="217"/>
      <c r="B100" s="185" t="s">
        <v>45</v>
      </c>
      <c r="C100" s="185"/>
      <c r="D100" s="186"/>
      <c r="E100" s="186"/>
      <c r="F100" s="218"/>
      <c r="G100" s="195">
        <f>G96+G92</f>
        <v>1.7647222222222224E-2</v>
      </c>
      <c r="H100" s="196">
        <f>SUM(H98:H99)</f>
        <v>23.119449361111108</v>
      </c>
    </row>
    <row r="101" spans="1:10" ht="15.75" x14ac:dyDescent="0.25">
      <c r="A101" s="219">
        <v>5</v>
      </c>
      <c r="B101" s="297" t="s">
        <v>110</v>
      </c>
      <c r="C101" s="297"/>
      <c r="D101" s="297"/>
      <c r="E101" s="297"/>
      <c r="F101" s="297"/>
      <c r="G101" s="297"/>
      <c r="H101" s="297"/>
    </row>
    <row r="102" spans="1:10" ht="15.75" x14ac:dyDescent="0.25">
      <c r="A102" s="175" t="s">
        <v>4</v>
      </c>
      <c r="B102" s="201" t="s">
        <v>111</v>
      </c>
      <c r="C102" s="201"/>
      <c r="D102" s="223"/>
      <c r="E102" s="177"/>
      <c r="F102" s="199"/>
      <c r="G102" s="199"/>
      <c r="H102" s="199">
        <v>29.2</v>
      </c>
    </row>
    <row r="103" spans="1:10" ht="15.75" x14ac:dyDescent="0.25">
      <c r="A103" s="175" t="s">
        <v>7</v>
      </c>
      <c r="B103" s="201" t="s">
        <v>112</v>
      </c>
      <c r="C103" s="201"/>
      <c r="D103" s="223"/>
      <c r="E103" s="177"/>
      <c r="F103" s="199"/>
      <c r="G103" s="199"/>
      <c r="H103" s="199"/>
    </row>
    <row r="104" spans="1:10" ht="15.75" x14ac:dyDescent="0.25">
      <c r="A104" s="175" t="s">
        <v>9</v>
      </c>
      <c r="B104" s="201" t="s">
        <v>113</v>
      </c>
      <c r="C104" s="201"/>
      <c r="D104" s="223"/>
      <c r="E104" s="177"/>
      <c r="F104" s="199"/>
      <c r="G104" s="199"/>
      <c r="H104" s="199">
        <v>0</v>
      </c>
    </row>
    <row r="105" spans="1:10" ht="15.75" x14ac:dyDescent="0.25">
      <c r="A105" s="175" t="s">
        <v>17</v>
      </c>
      <c r="B105" s="201" t="s">
        <v>164</v>
      </c>
      <c r="C105" s="201"/>
      <c r="D105" s="223"/>
      <c r="E105" s="177"/>
      <c r="F105" s="199"/>
      <c r="G105" s="199"/>
      <c r="H105" s="199">
        <v>4.8</v>
      </c>
    </row>
    <row r="106" spans="1:10" ht="15.75" x14ac:dyDescent="0.25">
      <c r="A106" s="175" t="s">
        <v>40</v>
      </c>
      <c r="B106" s="201" t="s">
        <v>248</v>
      </c>
      <c r="C106" s="201"/>
      <c r="D106" s="223"/>
      <c r="E106" s="177"/>
      <c r="F106" s="199"/>
      <c r="G106" s="199"/>
      <c r="H106" s="199">
        <v>3.91</v>
      </c>
    </row>
    <row r="107" spans="1:10" ht="15.75" x14ac:dyDescent="0.25">
      <c r="A107" s="217"/>
      <c r="B107" s="185" t="s">
        <v>45</v>
      </c>
      <c r="C107" s="185"/>
      <c r="D107" s="186"/>
      <c r="E107" s="186"/>
      <c r="F107" s="218"/>
      <c r="G107" s="195"/>
      <c r="H107" s="196">
        <f>SUM(H102:H106)</f>
        <v>37.909999999999997</v>
      </c>
    </row>
    <row r="108" spans="1:10" ht="15.75" x14ac:dyDescent="0.25">
      <c r="A108" s="219">
        <v>6</v>
      </c>
      <c r="B108" s="297" t="s">
        <v>114</v>
      </c>
      <c r="C108" s="297"/>
      <c r="D108" s="297"/>
      <c r="E108" s="297"/>
      <c r="F108" s="297"/>
      <c r="G108" s="297"/>
      <c r="H108" s="297"/>
    </row>
    <row r="109" spans="1:10" ht="15.75" x14ac:dyDescent="0.25">
      <c r="A109" s="224" t="s">
        <v>4</v>
      </c>
      <c r="B109" s="177"/>
      <c r="C109" s="177"/>
      <c r="D109" s="177"/>
      <c r="E109" s="177"/>
      <c r="F109" s="177" t="s">
        <v>115</v>
      </c>
      <c r="G109" s="163">
        <v>0.03</v>
      </c>
      <c r="H109" s="178">
        <f>G109*H124</f>
        <v>72.825253810785313</v>
      </c>
    </row>
    <row r="110" spans="1:10" ht="15.75" x14ac:dyDescent="0.25">
      <c r="A110" s="224" t="s">
        <v>7</v>
      </c>
      <c r="B110" s="177"/>
      <c r="C110" s="177"/>
      <c r="D110" s="177"/>
      <c r="E110" s="177"/>
      <c r="F110" s="175" t="s">
        <v>116</v>
      </c>
      <c r="G110" s="163">
        <v>6.7900000000000002E-2</v>
      </c>
      <c r="H110" s="178">
        <f>SUM(H109+H124)*$G$110</f>
        <v>169.7726591921631</v>
      </c>
    </row>
    <row r="111" spans="1:10" ht="15.75" x14ac:dyDescent="0.25">
      <c r="A111" s="224" t="s">
        <v>9</v>
      </c>
      <c r="B111" s="177"/>
      <c r="C111" s="177"/>
      <c r="D111" s="177"/>
      <c r="E111" s="177"/>
      <c r="F111" s="175" t="s">
        <v>117</v>
      </c>
      <c r="G111" s="225">
        <f>SUM(G112:G116)</f>
        <v>8.6499999999999994E-2</v>
      </c>
      <c r="H111" s="178">
        <f>H113+H114+H116</f>
        <v>252.83437470810364</v>
      </c>
    </row>
    <row r="112" spans="1:10" ht="15.75" x14ac:dyDescent="0.25">
      <c r="A112" s="224" t="s">
        <v>118</v>
      </c>
      <c r="B112" s="177"/>
      <c r="C112" s="177"/>
      <c r="D112" s="177"/>
      <c r="E112" s="177"/>
      <c r="F112" s="226" t="s">
        <v>119</v>
      </c>
      <c r="G112" s="179">
        <v>0</v>
      </c>
      <c r="H112" s="178"/>
      <c r="J112" s="120"/>
    </row>
    <row r="113" spans="1:9" ht="15.75" x14ac:dyDescent="0.25">
      <c r="A113" s="224" t="s">
        <v>120</v>
      </c>
      <c r="B113" s="177"/>
      <c r="C113" s="177"/>
      <c r="D113" s="177"/>
      <c r="E113" s="177"/>
      <c r="F113" s="226" t="s">
        <v>121</v>
      </c>
      <c r="G113" s="163">
        <v>6.4999999999999997E-3</v>
      </c>
      <c r="H113" s="178">
        <f>((H109+H110+H124)/0.9135)*G113</f>
        <v>18.999114862458654</v>
      </c>
    </row>
    <row r="114" spans="1:9" ht="15.75" x14ac:dyDescent="0.25">
      <c r="A114" s="224" t="s">
        <v>122</v>
      </c>
      <c r="B114" s="177"/>
      <c r="C114" s="177"/>
      <c r="D114" s="177"/>
      <c r="E114" s="177"/>
      <c r="F114" s="226" t="s">
        <v>123</v>
      </c>
      <c r="G114" s="163">
        <v>0.03</v>
      </c>
      <c r="H114" s="178">
        <f>((H109+H110+H124)/0.9135)*G114</f>
        <v>87.688222442116867</v>
      </c>
    </row>
    <row r="115" spans="1:9" ht="15.75" x14ac:dyDescent="0.25">
      <c r="A115" s="224" t="s">
        <v>124</v>
      </c>
      <c r="B115" s="177"/>
      <c r="C115" s="177"/>
      <c r="D115" s="177"/>
      <c r="E115" s="177"/>
      <c r="F115" s="226" t="s">
        <v>125</v>
      </c>
      <c r="G115" s="179">
        <v>0</v>
      </c>
      <c r="H115" s="178"/>
    </row>
    <row r="116" spans="1:9" ht="15.75" x14ac:dyDescent="0.25">
      <c r="A116" s="224" t="s">
        <v>126</v>
      </c>
      <c r="B116" s="177"/>
      <c r="C116" s="177"/>
      <c r="D116" s="177"/>
      <c r="E116" s="177"/>
      <c r="F116" s="226" t="s">
        <v>127</v>
      </c>
      <c r="G116" s="179">
        <v>0.05</v>
      </c>
      <c r="H116" s="178">
        <f>((H109+H110+H124)/0.9135)*G116</f>
        <v>146.14703740352812</v>
      </c>
    </row>
    <row r="117" spans="1:9" ht="15.75" x14ac:dyDescent="0.25">
      <c r="A117" s="217"/>
      <c r="B117" s="185" t="s">
        <v>45</v>
      </c>
      <c r="C117" s="185"/>
      <c r="D117" s="186"/>
      <c r="E117" s="186"/>
      <c r="F117" s="218"/>
      <c r="G117" s="195">
        <f>G111+G110+G109</f>
        <v>0.18439999999999998</v>
      </c>
      <c r="H117" s="196">
        <f>H109+H110+H111</f>
        <v>495.43228771105203</v>
      </c>
    </row>
    <row r="118" spans="1:9" ht="15.75" x14ac:dyDescent="0.25">
      <c r="A118" s="227"/>
      <c r="B118" s="297" t="s">
        <v>128</v>
      </c>
      <c r="C118" s="297"/>
      <c r="D118" s="297"/>
      <c r="E118" s="297"/>
      <c r="F118" s="297"/>
      <c r="G118" s="297"/>
      <c r="H118" s="297"/>
    </row>
    <row r="119" spans="1:9" ht="15.75" x14ac:dyDescent="0.25">
      <c r="A119" s="228" t="s">
        <v>4</v>
      </c>
      <c r="B119" s="177" t="s">
        <v>30</v>
      </c>
      <c r="C119" s="177"/>
      <c r="D119" s="177"/>
      <c r="E119" s="177"/>
      <c r="F119" s="178"/>
      <c r="G119" s="179">
        <f>SUM(H119/H$126)</f>
        <v>0.44820956458484223</v>
      </c>
      <c r="H119" s="178">
        <f>SUM(H38)</f>
        <v>1310.0899999999999</v>
      </c>
    </row>
    <row r="120" spans="1:9" ht="15.75" x14ac:dyDescent="0.25">
      <c r="A120" s="228" t="s">
        <v>7</v>
      </c>
      <c r="B120" s="177" t="s">
        <v>129</v>
      </c>
      <c r="C120" s="177"/>
      <c r="D120" s="177"/>
      <c r="E120" s="177"/>
      <c r="F120" s="178"/>
      <c r="G120" s="179">
        <f>SUM(H120/H$126)</f>
        <v>0.32957226999961908</v>
      </c>
      <c r="H120" s="178">
        <f>H72</f>
        <v>963.32021741600011</v>
      </c>
    </row>
    <row r="121" spans="1:9" ht="15.75" x14ac:dyDescent="0.25">
      <c r="A121" s="228" t="s">
        <v>9</v>
      </c>
      <c r="B121" s="177" t="s">
        <v>130</v>
      </c>
      <c r="C121" s="177"/>
      <c r="D121" s="177"/>
      <c r="E121" s="177"/>
      <c r="F121" s="178"/>
      <c r="G121" s="179">
        <f>SUM(H121/H$126)</f>
        <v>3.1840807462085861E-2</v>
      </c>
      <c r="H121" s="178">
        <f>H80</f>
        <v>93.068793582400005</v>
      </c>
    </row>
    <row r="122" spans="1:9" ht="15.75" x14ac:dyDescent="0.25">
      <c r="A122" s="228" t="s">
        <v>17</v>
      </c>
      <c r="B122" s="177" t="s">
        <v>131</v>
      </c>
      <c r="C122" s="177"/>
      <c r="D122" s="177"/>
      <c r="E122" s="177"/>
      <c r="F122" s="178"/>
      <c r="G122" s="179">
        <f>SUM(H122/H$126)</f>
        <v>7.9096537883541745E-3</v>
      </c>
      <c r="H122" s="178">
        <f>H100</f>
        <v>23.119449361111108</v>
      </c>
    </row>
    <row r="123" spans="1:9" ht="15.75" x14ac:dyDescent="0.25">
      <c r="A123" s="228" t="s">
        <v>40</v>
      </c>
      <c r="B123" s="177" t="s">
        <v>110</v>
      </c>
      <c r="C123" s="177"/>
      <c r="D123" s="177"/>
      <c r="E123" s="177"/>
      <c r="F123" s="178"/>
      <c r="G123" s="179">
        <f>H123/H126</f>
        <v>1.2969814740522688E-2</v>
      </c>
      <c r="H123" s="178">
        <f>H107</f>
        <v>37.909999999999997</v>
      </c>
    </row>
    <row r="124" spans="1:9" ht="15.75" x14ac:dyDescent="0.25">
      <c r="A124" s="228"/>
      <c r="B124" s="177" t="s">
        <v>132</v>
      </c>
      <c r="C124" s="177"/>
      <c r="D124" s="177"/>
      <c r="E124" s="177"/>
      <c r="F124" s="178"/>
      <c r="G124" s="179">
        <f>SUM(G119:G123)</f>
        <v>0.83050211057542411</v>
      </c>
      <c r="H124" s="178">
        <f>SUM(H119:H123)</f>
        <v>2427.5084603595105</v>
      </c>
    </row>
    <row r="125" spans="1:9" ht="15.75" x14ac:dyDescent="0.25">
      <c r="A125" s="228" t="s">
        <v>40</v>
      </c>
      <c r="B125" s="177" t="s">
        <v>133</v>
      </c>
      <c r="C125" s="177"/>
      <c r="D125" s="177"/>
      <c r="E125" s="177"/>
      <c r="F125" s="178"/>
      <c r="G125" s="179">
        <f>SUM(H125/H$126)</f>
        <v>0.16949788942457611</v>
      </c>
      <c r="H125" s="178">
        <f>H117</f>
        <v>495.43228771105203</v>
      </c>
      <c r="I125" s="115"/>
    </row>
    <row r="126" spans="1:9" ht="15.75" x14ac:dyDescent="0.25">
      <c r="A126" s="185"/>
      <c r="B126" s="185" t="s">
        <v>134</v>
      </c>
      <c r="C126" s="185"/>
      <c r="D126" s="185"/>
      <c r="E126" s="185"/>
      <c r="F126" s="185"/>
      <c r="G126" s="185">
        <f>SUM(G124+G125)</f>
        <v>1.0000000000000002</v>
      </c>
      <c r="H126" s="229">
        <f>H125+H124</f>
        <v>2922.9407480705627</v>
      </c>
      <c r="I126" s="115"/>
    </row>
    <row r="127" spans="1:9" ht="15.75" x14ac:dyDescent="0.25">
      <c r="A127" s="230"/>
      <c r="B127" s="297" t="s">
        <v>135</v>
      </c>
      <c r="C127" s="297"/>
      <c r="D127" s="297"/>
      <c r="E127" s="297"/>
      <c r="F127" s="297"/>
      <c r="G127" s="297"/>
      <c r="H127" s="297"/>
    </row>
    <row r="128" spans="1:9" ht="47.25" x14ac:dyDescent="0.25">
      <c r="A128" s="177"/>
      <c r="B128" s="231" t="s">
        <v>20</v>
      </c>
      <c r="C128" s="231"/>
      <c r="D128" s="232" t="s">
        <v>136</v>
      </c>
      <c r="E128" s="232" t="s">
        <v>137</v>
      </c>
      <c r="F128" s="233" t="s">
        <v>138</v>
      </c>
      <c r="G128" s="232" t="s">
        <v>139</v>
      </c>
      <c r="H128" s="234" t="s">
        <v>140</v>
      </c>
    </row>
    <row r="129" spans="1:8" ht="15.75" x14ac:dyDescent="0.25">
      <c r="A129" s="177"/>
      <c r="B129" s="224" t="s">
        <v>141</v>
      </c>
      <c r="C129" s="224"/>
      <c r="D129" s="224" t="s">
        <v>142</v>
      </c>
      <c r="E129" s="232" t="s">
        <v>143</v>
      </c>
      <c r="F129" s="233" t="s">
        <v>144</v>
      </c>
      <c r="G129" s="224" t="s">
        <v>145</v>
      </c>
      <c r="H129" s="235" t="s">
        <v>146</v>
      </c>
    </row>
    <row r="130" spans="1:8" ht="15.75" x14ac:dyDescent="0.25">
      <c r="A130" s="175"/>
      <c r="B130" s="236"/>
      <c r="C130" s="236"/>
      <c r="D130" s="237">
        <f>SUM(H126)</f>
        <v>2922.9407480705627</v>
      </c>
      <c r="E130" s="166">
        <v>1</v>
      </c>
      <c r="F130" s="237">
        <f>D130*E130</f>
        <v>2922.9407480705627</v>
      </c>
      <c r="G130" s="167">
        <v>1</v>
      </c>
      <c r="H130" s="178">
        <f>E130*D130</f>
        <v>2922.9407480705627</v>
      </c>
    </row>
    <row r="131" spans="1:8" ht="15.75" x14ac:dyDescent="0.25">
      <c r="A131" s="177"/>
      <c r="B131" s="231" t="s">
        <v>147</v>
      </c>
      <c r="C131" s="231"/>
      <c r="D131" s="201"/>
      <c r="E131" s="201"/>
      <c r="F131" s="201"/>
      <c r="G131" s="201"/>
      <c r="H131" s="238">
        <f>SUM(H130)</f>
        <v>2922.9407480705627</v>
      </c>
    </row>
    <row r="132" spans="1:8" ht="15.75" x14ac:dyDescent="0.25">
      <c r="A132" s="177"/>
      <c r="B132" s="231"/>
      <c r="C132" s="231"/>
      <c r="D132" s="239"/>
      <c r="E132" s="231"/>
      <c r="F132" s="231"/>
      <c r="G132" s="231"/>
      <c r="H132" s="231"/>
    </row>
    <row r="133" spans="1:8" ht="15.75" x14ac:dyDescent="0.25">
      <c r="A133" s="219"/>
      <c r="B133" s="297" t="s">
        <v>148</v>
      </c>
      <c r="C133" s="297"/>
      <c r="D133" s="297"/>
      <c r="E133" s="297"/>
      <c r="F133" s="297"/>
      <c r="G133" s="297"/>
      <c r="H133" s="297"/>
    </row>
    <row r="134" spans="1:8" ht="15.75" x14ac:dyDescent="0.25">
      <c r="A134" s="240"/>
      <c r="B134" s="240" t="s">
        <v>149</v>
      </c>
      <c r="C134" s="240"/>
      <c r="D134" s="240"/>
      <c r="E134" s="231"/>
      <c r="F134" s="231"/>
      <c r="G134" s="231"/>
      <c r="H134" s="241" t="s">
        <v>150</v>
      </c>
    </row>
    <row r="135" spans="1:8" ht="15.75" x14ac:dyDescent="0.25">
      <c r="A135" s="242" t="s">
        <v>4</v>
      </c>
      <c r="B135" s="243" t="s">
        <v>151</v>
      </c>
      <c r="C135" s="243"/>
      <c r="D135" s="243"/>
      <c r="E135" s="201"/>
      <c r="F135" s="201"/>
      <c r="G135" s="201"/>
      <c r="H135" s="241">
        <f>D130</f>
        <v>2922.9407480705627</v>
      </c>
    </row>
    <row r="136" spans="1:8" ht="15.75" x14ac:dyDescent="0.25">
      <c r="A136" s="242" t="s">
        <v>7</v>
      </c>
      <c r="B136" s="243" t="s">
        <v>152</v>
      </c>
      <c r="C136" s="243"/>
      <c r="D136" s="243"/>
      <c r="E136" s="201"/>
      <c r="F136" s="201"/>
      <c r="G136" s="201"/>
      <c r="H136" s="241">
        <f>H131</f>
        <v>2922.9407480705627</v>
      </c>
    </row>
    <row r="137" spans="1:8" ht="15.75" x14ac:dyDescent="0.25">
      <c r="A137" s="242" t="s">
        <v>17</v>
      </c>
      <c r="B137" s="176" t="s">
        <v>153</v>
      </c>
      <c r="C137" s="176"/>
      <c r="D137" s="243"/>
      <c r="E137" s="201"/>
      <c r="F137" s="201"/>
      <c r="G137" s="166">
        <v>12</v>
      </c>
      <c r="H137" s="241">
        <f>SUM(H136*G137)</f>
        <v>35075.28897684675</v>
      </c>
    </row>
    <row r="138" spans="1:8" ht="15.75" x14ac:dyDescent="0.25">
      <c r="A138" s="6"/>
      <c r="B138" s="6"/>
      <c r="C138" s="6"/>
      <c r="D138" s="6"/>
      <c r="E138" s="6"/>
      <c r="F138" s="6"/>
      <c r="G138" s="6"/>
      <c r="H138" s="6"/>
    </row>
    <row r="141" spans="1:8" x14ac:dyDescent="0.25">
      <c r="A141" s="150" t="s">
        <v>203</v>
      </c>
      <c r="B141" s="150"/>
    </row>
    <row r="142" spans="1:8" x14ac:dyDescent="0.25">
      <c r="A142" s="150" t="s">
        <v>204</v>
      </c>
      <c r="B142" s="150"/>
    </row>
    <row r="143" spans="1:8" x14ac:dyDescent="0.25">
      <c r="A143" s="150" t="s">
        <v>258</v>
      </c>
      <c r="B143" s="150"/>
    </row>
    <row r="144" spans="1:8" x14ac:dyDescent="0.25">
      <c r="A144" s="150"/>
      <c r="B144" s="150"/>
    </row>
    <row r="145" spans="1:6" x14ac:dyDescent="0.25">
      <c r="A145" s="150" t="s">
        <v>206</v>
      </c>
      <c r="B145" s="150"/>
    </row>
    <row r="147" spans="1:6" x14ac:dyDescent="0.25">
      <c r="A147" t="s">
        <v>207</v>
      </c>
    </row>
    <row r="148" spans="1:6" x14ac:dyDescent="0.25">
      <c r="A148" s="150" t="s">
        <v>208</v>
      </c>
    </row>
    <row r="149" spans="1:6" x14ac:dyDescent="0.25">
      <c r="A149" s="150" t="s">
        <v>209</v>
      </c>
    </row>
    <row r="150" spans="1:6" x14ac:dyDescent="0.25">
      <c r="A150" s="150"/>
    </row>
    <row r="151" spans="1:6" x14ac:dyDescent="0.25">
      <c r="A151" s="150" t="s">
        <v>210</v>
      </c>
    </row>
    <row r="152" spans="1:6" x14ac:dyDescent="0.25">
      <c r="A152" s="150"/>
    </row>
    <row r="153" spans="1:6" x14ac:dyDescent="0.25">
      <c r="A153" s="150" t="s">
        <v>211</v>
      </c>
    </row>
    <row r="154" spans="1:6" x14ac:dyDescent="0.25">
      <c r="A154" s="150"/>
    </row>
    <row r="155" spans="1:6" x14ac:dyDescent="0.25">
      <c r="A155" s="150"/>
    </row>
    <row r="156" spans="1:6" x14ac:dyDescent="0.25">
      <c r="A156" s="150" t="s">
        <v>206</v>
      </c>
    </row>
    <row r="157" spans="1:6" x14ac:dyDescent="0.25">
      <c r="A157" s="150" t="s">
        <v>222</v>
      </c>
    </row>
    <row r="158" spans="1:6" x14ac:dyDescent="0.25">
      <c r="B158" s="151" t="s">
        <v>213</v>
      </c>
      <c r="C158" s="152"/>
      <c r="D158" s="152"/>
      <c r="E158" s="152"/>
      <c r="F158" s="152"/>
    </row>
    <row r="159" spans="1:6" x14ac:dyDescent="0.25">
      <c r="B159" s="151"/>
      <c r="C159" s="152"/>
      <c r="D159" s="152"/>
      <c r="E159" s="152"/>
      <c r="F159" s="152"/>
    </row>
    <row r="160" spans="1:6" x14ac:dyDescent="0.25">
      <c r="B160" s="151" t="s">
        <v>214</v>
      </c>
      <c r="C160" s="152" t="s">
        <v>215</v>
      </c>
      <c r="D160" s="152" t="s">
        <v>216</v>
      </c>
      <c r="E160" s="152" t="s">
        <v>217</v>
      </c>
      <c r="F160" s="152" t="s">
        <v>218</v>
      </c>
    </row>
    <row r="161" spans="1:6" x14ac:dyDescent="0.25">
      <c r="B161" s="151" t="s">
        <v>219</v>
      </c>
      <c r="C161" s="153">
        <v>1.6500000000000001E-2</v>
      </c>
      <c r="D161" s="153">
        <v>7.5999999999999998E-2</v>
      </c>
      <c r="E161" s="154">
        <v>0.05</v>
      </c>
      <c r="F161" s="152">
        <v>0.85750000000000004</v>
      </c>
    </row>
    <row r="162" spans="1:6" x14ac:dyDescent="0.25">
      <c r="B162" s="151" t="s">
        <v>220</v>
      </c>
      <c r="C162" s="153">
        <v>6.4999999999999997E-3</v>
      </c>
      <c r="D162" s="154">
        <v>0.03</v>
      </c>
      <c r="E162" s="154">
        <v>0.05</v>
      </c>
      <c r="F162" s="152">
        <v>0.91349999999999998</v>
      </c>
    </row>
    <row r="163" spans="1:6" x14ac:dyDescent="0.25">
      <c r="B163" s="151" t="s">
        <v>221</v>
      </c>
      <c r="C163" s="153">
        <v>4.4000000000000003E-3</v>
      </c>
      <c r="D163" s="153">
        <v>2.35E-2</v>
      </c>
      <c r="E163" s="154">
        <v>0.05</v>
      </c>
      <c r="F163" s="152">
        <v>0.92210000000000003</v>
      </c>
    </row>
    <row r="165" spans="1:6" x14ac:dyDescent="0.25">
      <c r="A165" s="156" t="s">
        <v>224</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5"/>
  <sheetViews>
    <sheetView zoomScale="90" zoomScaleNormal="90" workbookViewId="0">
      <selection activeCell="A77" sqref="A77"/>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c r="E2" s="3"/>
      <c r="F2" s="3" t="s">
        <v>2</v>
      </c>
      <c r="G2" s="3"/>
      <c r="H2" s="5"/>
    </row>
    <row r="3" spans="1:8" ht="15.75" x14ac:dyDescent="0.25">
      <c r="A3" s="273" t="s">
        <v>3</v>
      </c>
      <c r="B3" s="273"/>
      <c r="C3" s="273"/>
      <c r="D3" s="273"/>
      <c r="E3" s="273"/>
      <c r="F3" s="273"/>
      <c r="G3" s="273"/>
      <c r="H3" s="273"/>
    </row>
    <row r="4" spans="1:8" ht="15.75" x14ac:dyDescent="0.25">
      <c r="A4" s="6" t="s">
        <v>4</v>
      </c>
      <c r="B4" s="7" t="s">
        <v>5</v>
      </c>
      <c r="C4" s="7"/>
      <c r="D4" s="8"/>
      <c r="E4" s="291" t="s">
        <v>6</v>
      </c>
      <c r="F4" s="291"/>
      <c r="G4" s="291"/>
      <c r="H4" s="291"/>
    </row>
    <row r="5" spans="1:8" ht="15.75" x14ac:dyDescent="0.25">
      <c r="A5" s="6" t="s">
        <v>7</v>
      </c>
      <c r="B5" s="7" t="s">
        <v>8</v>
      </c>
      <c r="C5" s="7"/>
      <c r="D5" s="9"/>
      <c r="E5" s="291"/>
      <c r="F5" s="291"/>
      <c r="G5" s="291"/>
      <c r="H5" s="291"/>
    </row>
    <row r="6" spans="1:8" ht="15.75" x14ac:dyDescent="0.25">
      <c r="A6" s="6" t="s">
        <v>9</v>
      </c>
      <c r="B6" s="7" t="s">
        <v>10</v>
      </c>
      <c r="C6" s="7"/>
      <c r="D6" s="10"/>
      <c r="E6" s="291"/>
      <c r="F6" s="291"/>
      <c r="G6" s="291"/>
      <c r="H6" s="291"/>
    </row>
    <row r="7" spans="1:8" ht="15.75" x14ac:dyDescent="0.25">
      <c r="A7" s="292"/>
      <c r="B7" s="292"/>
      <c r="C7" s="292"/>
      <c r="D7" s="292"/>
      <c r="E7" s="11"/>
      <c r="F7" s="11"/>
      <c r="G7" s="11"/>
      <c r="H7" s="11"/>
    </row>
    <row r="8" spans="1:8" ht="15.75" x14ac:dyDescent="0.25">
      <c r="A8" s="273" t="s">
        <v>12</v>
      </c>
      <c r="B8" s="273"/>
      <c r="C8" s="273"/>
      <c r="D8" s="273"/>
      <c r="E8" s="273"/>
      <c r="F8" s="273"/>
      <c r="G8" s="273"/>
      <c r="H8" s="273"/>
    </row>
    <row r="9" spans="1:8" x14ac:dyDescent="0.25">
      <c r="A9" s="12" t="s">
        <v>4</v>
      </c>
      <c r="B9" s="13" t="s">
        <v>13</v>
      </c>
      <c r="C9" s="13"/>
      <c r="D9" s="296">
        <v>44301</v>
      </c>
      <c r="E9" s="285"/>
      <c r="F9" s="285"/>
      <c r="G9" s="285"/>
      <c r="H9" s="285"/>
    </row>
    <row r="10" spans="1:8" x14ac:dyDescent="0.25">
      <c r="A10" s="12" t="s">
        <v>7</v>
      </c>
      <c r="B10" s="13" t="s">
        <v>15</v>
      </c>
      <c r="C10" s="13"/>
      <c r="D10" s="293" t="s">
        <v>185</v>
      </c>
      <c r="E10" s="293"/>
      <c r="F10" s="293"/>
      <c r="G10" s="293"/>
      <c r="H10" s="293"/>
    </row>
    <row r="11" spans="1:8" x14ac:dyDescent="0.25">
      <c r="A11" s="12" t="s">
        <v>9</v>
      </c>
      <c r="B11" s="13" t="s">
        <v>16</v>
      </c>
      <c r="C11" s="13"/>
      <c r="D11" s="293" t="s">
        <v>264</v>
      </c>
      <c r="E11" s="293"/>
      <c r="F11" s="293"/>
      <c r="G11" s="293"/>
      <c r="H11" s="293"/>
    </row>
    <row r="12" spans="1:8" x14ac:dyDescent="0.25">
      <c r="A12" s="12" t="s">
        <v>17</v>
      </c>
      <c r="B12" s="13" t="s">
        <v>18</v>
      </c>
      <c r="C12" s="13"/>
      <c r="D12" s="293">
        <v>12</v>
      </c>
      <c r="E12" s="293"/>
      <c r="F12" s="293"/>
      <c r="G12" s="293"/>
      <c r="H12" s="293"/>
    </row>
    <row r="13" spans="1:8" x14ac:dyDescent="0.25">
      <c r="A13" s="12"/>
      <c r="B13" s="13"/>
      <c r="C13" s="13"/>
      <c r="D13" s="14"/>
      <c r="E13" s="14"/>
      <c r="F13" s="14"/>
      <c r="G13" s="14"/>
      <c r="H13" s="15"/>
    </row>
    <row r="14" spans="1:8" ht="15.75" x14ac:dyDescent="0.25">
      <c r="A14" s="273" t="s">
        <v>19</v>
      </c>
      <c r="B14" s="273"/>
      <c r="C14" s="273"/>
      <c r="D14" s="273"/>
      <c r="E14" s="273"/>
      <c r="F14" s="273"/>
      <c r="G14" s="273"/>
      <c r="H14" s="273"/>
    </row>
    <row r="15" spans="1:8" ht="15.75" x14ac:dyDescent="0.25">
      <c r="A15" s="12"/>
      <c r="B15" s="16" t="s">
        <v>20</v>
      </c>
      <c r="C15" s="16"/>
      <c r="D15" s="17" t="s">
        <v>21</v>
      </c>
      <c r="E15" s="294" t="s">
        <v>22</v>
      </c>
      <c r="F15" s="294"/>
      <c r="G15" s="294"/>
      <c r="H15" s="294"/>
    </row>
    <row r="16" spans="1:8" x14ac:dyDescent="0.25">
      <c r="A16" s="12" t="s">
        <v>4</v>
      </c>
      <c r="B16" s="18" t="s">
        <v>180</v>
      </c>
      <c r="C16" s="19"/>
      <c r="D16" s="20" t="s">
        <v>23</v>
      </c>
      <c r="E16" s="295">
        <v>1</v>
      </c>
      <c r="F16" s="295"/>
      <c r="G16" s="295"/>
      <c r="H16" s="295"/>
    </row>
    <row r="17" spans="1:8" x14ac:dyDescent="0.25">
      <c r="A17" s="12" t="s">
        <v>7</v>
      </c>
      <c r="B17" s="13"/>
      <c r="C17" s="13"/>
      <c r="D17" s="21"/>
      <c r="E17" s="283"/>
      <c r="F17" s="283"/>
      <c r="G17" s="283"/>
      <c r="H17" s="283"/>
    </row>
    <row r="18" spans="1:8" x14ac:dyDescent="0.25">
      <c r="A18" s="12" t="s">
        <v>9</v>
      </c>
      <c r="B18" s="13"/>
      <c r="C18" s="13"/>
      <c r="D18" s="21"/>
      <c r="E18" s="283"/>
      <c r="F18" s="283"/>
      <c r="G18" s="283"/>
      <c r="H18" s="283"/>
    </row>
    <row r="19" spans="1:8" ht="15.75" x14ac:dyDescent="0.25">
      <c r="A19" s="110"/>
      <c r="B19" s="273" t="s">
        <v>24</v>
      </c>
      <c r="C19" s="273"/>
      <c r="D19" s="273"/>
      <c r="E19" s="273"/>
      <c r="F19" s="273"/>
      <c r="G19" s="273"/>
      <c r="H19" s="273"/>
    </row>
    <row r="20" spans="1:8" ht="15.75" x14ac:dyDescent="0.25">
      <c r="A20" s="284" t="s">
        <v>25</v>
      </c>
      <c r="B20" s="284"/>
      <c r="C20" s="284"/>
      <c r="D20" s="284"/>
      <c r="E20" s="284"/>
      <c r="F20" s="284"/>
      <c r="G20" s="284"/>
      <c r="H20" s="284"/>
    </row>
    <row r="21" spans="1:8" x14ac:dyDescent="0.25">
      <c r="A21" s="12">
        <v>1</v>
      </c>
      <c r="B21" s="13" t="s">
        <v>20</v>
      </c>
      <c r="C21" s="13"/>
      <c r="D21" s="285" t="s">
        <v>182</v>
      </c>
      <c r="E21" s="285"/>
      <c r="F21" s="285"/>
      <c r="G21" s="285"/>
      <c r="H21" s="285"/>
    </row>
    <row r="22" spans="1:8" x14ac:dyDescent="0.25">
      <c r="A22" s="12">
        <v>2</v>
      </c>
      <c r="B22" s="13" t="s">
        <v>26</v>
      </c>
      <c r="C22" s="13"/>
      <c r="D22" s="286" t="s">
        <v>243</v>
      </c>
      <c r="E22" s="286"/>
      <c r="F22" s="286"/>
      <c r="G22" s="286"/>
      <c r="H22" s="286"/>
    </row>
    <row r="23" spans="1:8" x14ac:dyDescent="0.25">
      <c r="A23" s="12">
        <v>3</v>
      </c>
      <c r="B23" s="13" t="s">
        <v>27</v>
      </c>
      <c r="C23" s="13"/>
      <c r="D23" s="22">
        <v>1310.0899999999999</v>
      </c>
      <c r="E23" s="23"/>
      <c r="F23" s="23"/>
      <c r="G23" s="23"/>
      <c r="H23" s="23"/>
    </row>
    <row r="24" spans="1:8" ht="30" x14ac:dyDescent="0.25">
      <c r="A24" s="1">
        <v>4</v>
      </c>
      <c r="B24" s="24" t="s">
        <v>28</v>
      </c>
      <c r="C24" s="24"/>
      <c r="D24" s="287" t="s">
        <v>266</v>
      </c>
      <c r="E24" s="287"/>
      <c r="F24" s="287"/>
      <c r="G24" s="287"/>
      <c r="H24" s="287"/>
    </row>
    <row r="25" spans="1:8" x14ac:dyDescent="0.25">
      <c r="A25" s="1">
        <v>5</v>
      </c>
      <c r="B25" s="25" t="s">
        <v>29</v>
      </c>
      <c r="C25" s="25"/>
      <c r="D25" s="288" t="s">
        <v>265</v>
      </c>
      <c r="E25" s="288"/>
      <c r="F25" s="288"/>
      <c r="G25" s="288"/>
      <c r="H25" s="288"/>
    </row>
    <row r="26" spans="1:8" ht="15.75" x14ac:dyDescent="0.25">
      <c r="A26" s="189">
        <v>1</v>
      </c>
      <c r="B26" s="297" t="s">
        <v>30</v>
      </c>
      <c r="C26" s="297"/>
      <c r="D26" s="297"/>
      <c r="E26" s="297"/>
      <c r="F26" s="297"/>
      <c r="G26" s="297"/>
      <c r="H26" s="297"/>
    </row>
    <row r="27" spans="1:8" ht="15.75" x14ac:dyDescent="0.25">
      <c r="A27" s="175" t="s">
        <v>4</v>
      </c>
      <c r="B27" s="177" t="s">
        <v>31</v>
      </c>
      <c r="C27" s="177"/>
      <c r="D27" s="177"/>
      <c r="E27" s="206"/>
      <c r="F27" s="206"/>
      <c r="G27" s="178"/>
      <c r="H27" s="244">
        <f>D23</f>
        <v>1310.0899999999999</v>
      </c>
    </row>
    <row r="28" spans="1:8" ht="15.75" x14ac:dyDescent="0.25">
      <c r="A28" s="175" t="s">
        <v>7</v>
      </c>
      <c r="B28" s="177" t="s">
        <v>32</v>
      </c>
      <c r="C28" s="177"/>
      <c r="D28" s="245"/>
      <c r="E28" s="246">
        <v>0</v>
      </c>
      <c r="F28" s="206"/>
      <c r="G28" s="206"/>
      <c r="H28" s="247"/>
    </row>
    <row r="29" spans="1:8" ht="15.75" x14ac:dyDescent="0.25">
      <c r="A29" s="175" t="s">
        <v>9</v>
      </c>
      <c r="B29" s="177" t="s">
        <v>34</v>
      </c>
      <c r="C29" s="177"/>
      <c r="D29" s="248" t="s">
        <v>35</v>
      </c>
      <c r="E29" s="249" t="s">
        <v>36</v>
      </c>
      <c r="F29" s="248" t="s">
        <v>37</v>
      </c>
      <c r="G29" s="199"/>
      <c r="H29" s="247"/>
    </row>
    <row r="30" spans="1:8" ht="15.75" x14ac:dyDescent="0.25">
      <c r="A30" s="175" t="s">
        <v>17</v>
      </c>
      <c r="B30" s="177" t="s">
        <v>167</v>
      </c>
      <c r="C30" s="177"/>
      <c r="D30" s="248"/>
      <c r="E30" s="249"/>
      <c r="F30" s="248"/>
      <c r="G30" s="199"/>
      <c r="H30" s="247"/>
    </row>
    <row r="31" spans="1:8" ht="15.75" x14ac:dyDescent="0.25">
      <c r="A31" s="175" t="s">
        <v>40</v>
      </c>
      <c r="B31" s="177" t="s">
        <v>38</v>
      </c>
      <c r="C31" s="177"/>
      <c r="D31" s="245" t="s">
        <v>39</v>
      </c>
      <c r="E31" s="250">
        <v>0</v>
      </c>
      <c r="F31" s="251"/>
      <c r="G31" s="177"/>
      <c r="H31" s="252"/>
    </row>
    <row r="32" spans="1:8" ht="15.75" x14ac:dyDescent="0.25">
      <c r="A32" s="175" t="s">
        <v>42</v>
      </c>
      <c r="B32" s="177" t="s">
        <v>41</v>
      </c>
      <c r="C32" s="177"/>
      <c r="D32" s="206"/>
      <c r="E32" s="206"/>
      <c r="F32" s="206"/>
      <c r="G32" s="199"/>
      <c r="H32" s="252"/>
    </row>
    <row r="33" spans="1:9" ht="15.75" x14ac:dyDescent="0.25">
      <c r="A33" s="175" t="s">
        <v>61</v>
      </c>
      <c r="B33" s="177" t="s">
        <v>159</v>
      </c>
      <c r="C33" s="177"/>
      <c r="D33" s="206"/>
      <c r="E33" s="206"/>
      <c r="F33" s="206"/>
      <c r="G33" s="199"/>
      <c r="H33" s="252"/>
    </row>
    <row r="34" spans="1:9" ht="15.75" x14ac:dyDescent="0.25">
      <c r="A34" s="175" t="s">
        <v>43</v>
      </c>
      <c r="B34" s="177" t="s">
        <v>155</v>
      </c>
      <c r="C34" s="177"/>
      <c r="D34" s="206"/>
      <c r="E34" s="206"/>
      <c r="F34" s="206"/>
      <c r="G34" s="199"/>
      <c r="H34" s="252"/>
    </row>
    <row r="35" spans="1:9" ht="15.75" x14ac:dyDescent="0.25">
      <c r="A35" s="175" t="s">
        <v>161</v>
      </c>
      <c r="B35" s="176" t="s">
        <v>160</v>
      </c>
      <c r="C35" s="176"/>
      <c r="D35" s="206"/>
      <c r="E35" s="206"/>
      <c r="F35" s="206"/>
      <c r="G35" s="199"/>
      <c r="H35" s="252"/>
    </row>
    <row r="36" spans="1:9" ht="15.75" x14ac:dyDescent="0.25">
      <c r="A36" s="175" t="s">
        <v>165</v>
      </c>
      <c r="B36" s="176" t="s">
        <v>162</v>
      </c>
      <c r="C36" s="176"/>
      <c r="D36" s="206"/>
      <c r="E36" s="206"/>
      <c r="F36" s="206"/>
      <c r="G36" s="199"/>
      <c r="H36" s="252"/>
    </row>
    <row r="37" spans="1:9" ht="15.75" x14ac:dyDescent="0.25">
      <c r="A37" s="175" t="s">
        <v>166</v>
      </c>
      <c r="B37" s="177" t="s">
        <v>44</v>
      </c>
      <c r="C37" s="177"/>
      <c r="D37" s="177"/>
      <c r="E37" s="177"/>
      <c r="F37" s="199"/>
      <c r="G37" s="199"/>
      <c r="H37" s="199">
        <v>0</v>
      </c>
    </row>
    <row r="38" spans="1:9" ht="15.75" x14ac:dyDescent="0.25">
      <c r="A38" s="253"/>
      <c r="B38" s="185" t="s">
        <v>45</v>
      </c>
      <c r="C38" s="185"/>
      <c r="D38" s="186"/>
      <c r="E38" s="186"/>
      <c r="F38" s="187"/>
      <c r="G38" s="187"/>
      <c r="H38" s="188">
        <f>SUM(H27:H37)</f>
        <v>1310.0899999999999</v>
      </c>
    </row>
    <row r="39" spans="1:9" ht="15.75" x14ac:dyDescent="0.25">
      <c r="A39" s="173">
        <v>2</v>
      </c>
      <c r="B39" s="302" t="s">
        <v>46</v>
      </c>
      <c r="C39" s="302"/>
      <c r="D39" s="302"/>
      <c r="E39" s="302"/>
      <c r="F39" s="302"/>
      <c r="G39" s="302"/>
      <c r="H39" s="302"/>
    </row>
    <row r="40" spans="1:9" ht="15.75" x14ac:dyDescent="0.25">
      <c r="A40" s="174" t="s">
        <v>47</v>
      </c>
      <c r="B40" s="303" t="s">
        <v>48</v>
      </c>
      <c r="C40" s="303"/>
      <c r="D40" s="303"/>
      <c r="E40" s="303"/>
      <c r="F40" s="303"/>
      <c r="G40" s="303"/>
      <c r="H40" s="303"/>
    </row>
    <row r="41" spans="1:9" ht="15.75" x14ac:dyDescent="0.25">
      <c r="A41" s="175" t="s">
        <v>4</v>
      </c>
      <c r="B41" s="176" t="s">
        <v>49</v>
      </c>
      <c r="C41" s="176"/>
      <c r="D41" s="176"/>
      <c r="E41" s="177"/>
      <c r="F41" s="178"/>
      <c r="G41" s="179">
        <v>8.3299999999999999E-2</v>
      </c>
      <c r="H41" s="178">
        <f>SUM($H$38*G41)</f>
        <v>109.13049699999999</v>
      </c>
    </row>
    <row r="42" spans="1:9" ht="15.75" x14ac:dyDescent="0.25">
      <c r="A42" s="175" t="s">
        <v>7</v>
      </c>
      <c r="B42" s="177" t="s">
        <v>50</v>
      </c>
      <c r="C42" s="177"/>
      <c r="D42" s="177"/>
      <c r="E42" s="177"/>
      <c r="F42" s="180"/>
      <c r="G42" s="181">
        <v>0.121</v>
      </c>
      <c r="H42" s="178">
        <f>SUM($H$38*G42)</f>
        <v>158.52088999999998</v>
      </c>
    </row>
    <row r="43" spans="1:9" ht="15.75" x14ac:dyDescent="0.25">
      <c r="A43" s="1" t="s">
        <v>9</v>
      </c>
      <c r="B43" s="48" t="s">
        <v>51</v>
      </c>
      <c r="C43" s="182"/>
      <c r="D43" s="177"/>
      <c r="E43" s="177"/>
      <c r="F43" s="180"/>
      <c r="G43" s="181">
        <f>SUM(G41:G42)*G54</f>
        <v>7.518240000000001E-2</v>
      </c>
      <c r="H43" s="178">
        <f>SUM($H$38*G43)</f>
        <v>98.495710416000009</v>
      </c>
    </row>
    <row r="44" spans="1:9" ht="15.75" x14ac:dyDescent="0.25">
      <c r="A44" s="183"/>
      <c r="B44" s="184" t="s">
        <v>45</v>
      </c>
      <c r="C44" s="185"/>
      <c r="D44" s="186"/>
      <c r="E44" s="186"/>
      <c r="F44" s="187"/>
      <c r="G44" s="187"/>
      <c r="H44" s="188">
        <f>SUM(H41:H43)</f>
        <v>366.14709741600001</v>
      </c>
    </row>
    <row r="45" spans="1:9" ht="15.75" x14ac:dyDescent="0.25">
      <c r="A45" s="189" t="s">
        <v>52</v>
      </c>
      <c r="B45" s="297" t="s">
        <v>53</v>
      </c>
      <c r="C45" s="297"/>
      <c r="D45" s="297"/>
      <c r="E45" s="297"/>
      <c r="F45" s="297"/>
      <c r="G45" s="297"/>
      <c r="H45" s="297"/>
    </row>
    <row r="46" spans="1:9" ht="15.75" x14ac:dyDescent="0.25">
      <c r="A46" s="175" t="s">
        <v>4</v>
      </c>
      <c r="B46" s="182" t="s">
        <v>54</v>
      </c>
      <c r="C46" s="182"/>
      <c r="D46" s="177"/>
      <c r="E46" s="177"/>
      <c r="F46" s="178"/>
      <c r="G46" s="179">
        <v>0.2</v>
      </c>
      <c r="H46" s="178">
        <f>SUM($H$38*G46)</f>
        <v>262.01799999999997</v>
      </c>
    </row>
    <row r="47" spans="1:9" ht="15.75" x14ac:dyDescent="0.25">
      <c r="A47" s="175" t="s">
        <v>7</v>
      </c>
      <c r="B47" s="182" t="s">
        <v>55</v>
      </c>
      <c r="C47" s="182"/>
      <c r="D47" s="301" t="s">
        <v>56</v>
      </c>
      <c r="E47" s="301"/>
      <c r="F47" s="178"/>
      <c r="G47" s="163">
        <v>1.4999999999999999E-2</v>
      </c>
      <c r="H47" s="178">
        <f t="shared" ref="H47:H53" si="0">SUM($H$38*G47)</f>
        <v>19.651349999999997</v>
      </c>
      <c r="I47" s="115"/>
    </row>
    <row r="48" spans="1:9" ht="15.75" x14ac:dyDescent="0.25">
      <c r="A48" s="175" t="s">
        <v>9</v>
      </c>
      <c r="B48" s="182" t="s">
        <v>57</v>
      </c>
      <c r="C48" s="182"/>
      <c r="D48" s="301"/>
      <c r="E48" s="301"/>
      <c r="F48" s="178"/>
      <c r="G48" s="163">
        <v>0.01</v>
      </c>
      <c r="H48" s="178">
        <f t="shared" si="0"/>
        <v>13.100899999999999</v>
      </c>
    </row>
    <row r="49" spans="1:13" ht="15.75" x14ac:dyDescent="0.25">
      <c r="A49" s="175" t="s">
        <v>17</v>
      </c>
      <c r="B49" s="182" t="s">
        <v>58</v>
      </c>
      <c r="C49" s="182"/>
      <c r="D49" s="177"/>
      <c r="E49" s="177"/>
      <c r="F49" s="178"/>
      <c r="G49" s="163">
        <v>2E-3</v>
      </c>
      <c r="H49" s="178">
        <f t="shared" si="0"/>
        <v>2.62018</v>
      </c>
    </row>
    <row r="50" spans="1:13" ht="15.75" x14ac:dyDescent="0.25">
      <c r="A50" s="175" t="s">
        <v>40</v>
      </c>
      <c r="B50" s="182" t="s">
        <v>59</v>
      </c>
      <c r="C50" s="182"/>
      <c r="D50" s="177"/>
      <c r="E50" s="177"/>
      <c r="F50" s="178"/>
      <c r="G50" s="163">
        <v>2.5000000000000001E-2</v>
      </c>
      <c r="H50" s="178">
        <f>SUM($H$38*G50)</f>
        <v>32.752249999999997</v>
      </c>
    </row>
    <row r="51" spans="1:13" ht="15.75" x14ac:dyDescent="0.25">
      <c r="A51" s="175" t="s">
        <v>42</v>
      </c>
      <c r="B51" s="182" t="s">
        <v>60</v>
      </c>
      <c r="C51" s="182"/>
      <c r="D51" s="177"/>
      <c r="E51" s="177"/>
      <c r="F51" s="178"/>
      <c r="G51" s="179">
        <v>0.08</v>
      </c>
      <c r="H51" s="178">
        <f t="shared" si="0"/>
        <v>104.80719999999999</v>
      </c>
    </row>
    <row r="52" spans="1:13" ht="15.75" x14ac:dyDescent="0.25">
      <c r="A52" s="190" t="s">
        <v>61</v>
      </c>
      <c r="B52" s="191" t="s">
        <v>62</v>
      </c>
      <c r="C52" s="191"/>
      <c r="D52" s="192"/>
      <c r="E52" s="192"/>
      <c r="F52" s="192"/>
      <c r="G52" s="164">
        <v>0.03</v>
      </c>
      <c r="H52" s="193">
        <f t="shared" si="0"/>
        <v>39.302699999999994</v>
      </c>
    </row>
    <row r="53" spans="1:13" ht="15.75" x14ac:dyDescent="0.25">
      <c r="A53" s="175" t="s">
        <v>43</v>
      </c>
      <c r="B53" s="182" t="s">
        <v>63</v>
      </c>
      <c r="C53" s="182"/>
      <c r="D53" s="177"/>
      <c r="E53" s="177"/>
      <c r="F53" s="178"/>
      <c r="G53" s="163">
        <v>6.0000000000000001E-3</v>
      </c>
      <c r="H53" s="178">
        <f t="shared" si="0"/>
        <v>7.8605399999999994</v>
      </c>
      <c r="I53" s="121"/>
    </row>
    <row r="54" spans="1:13" ht="15.75" x14ac:dyDescent="0.25">
      <c r="A54" s="184"/>
      <c r="B54" s="185" t="s">
        <v>45</v>
      </c>
      <c r="C54" s="185"/>
      <c r="D54" s="185"/>
      <c r="E54" s="185"/>
      <c r="F54" s="194"/>
      <c r="G54" s="195">
        <f>SUM(G46:G53)</f>
        <v>0.3680000000000001</v>
      </c>
      <c r="H54" s="196">
        <f>SUM(H46:H53)</f>
        <v>482.11312000000004</v>
      </c>
    </row>
    <row r="55" spans="1:13" ht="15.75" x14ac:dyDescent="0.25">
      <c r="A55" s="189" t="s">
        <v>64</v>
      </c>
      <c r="B55" s="297" t="s">
        <v>65</v>
      </c>
      <c r="C55" s="297"/>
      <c r="D55" s="297"/>
      <c r="E55" s="297"/>
      <c r="F55" s="297"/>
      <c r="G55" s="297"/>
      <c r="H55" s="297"/>
    </row>
    <row r="56" spans="1:13" ht="15.75" x14ac:dyDescent="0.25">
      <c r="A56" s="177" t="s">
        <v>66</v>
      </c>
      <c r="B56" s="197"/>
      <c r="C56" s="197"/>
      <c r="D56" s="198" t="s">
        <v>67</v>
      </c>
      <c r="E56" s="198" t="s">
        <v>68</v>
      </c>
      <c r="F56" s="198" t="s">
        <v>69</v>
      </c>
      <c r="G56" s="198" t="s">
        <v>70</v>
      </c>
      <c r="H56" s="177"/>
    </row>
    <row r="57" spans="1:13" ht="15.75" x14ac:dyDescent="0.25">
      <c r="A57" s="304" t="s">
        <v>4</v>
      </c>
      <c r="B57" s="177" t="s">
        <v>71</v>
      </c>
      <c r="C57" s="177"/>
      <c r="D57" s="298"/>
      <c r="E57" s="299"/>
      <c r="F57" s="300"/>
      <c r="G57" s="305"/>
      <c r="H57" s="199">
        <f>F57*E57*D57</f>
        <v>0</v>
      </c>
      <c r="I57" t="s">
        <v>256</v>
      </c>
    </row>
    <row r="58" spans="1:13" ht="15.75" x14ac:dyDescent="0.25">
      <c r="A58" s="304"/>
      <c r="B58" s="177" t="s">
        <v>72</v>
      </c>
      <c r="C58" s="177"/>
      <c r="D58" s="298"/>
      <c r="E58" s="298"/>
      <c r="F58" s="298"/>
      <c r="G58" s="298"/>
      <c r="H58" s="199">
        <f>H27*G57</f>
        <v>0</v>
      </c>
    </row>
    <row r="59" spans="1:13" ht="15.75" x14ac:dyDescent="0.25">
      <c r="A59" s="304"/>
      <c r="B59" s="176" t="s">
        <v>73</v>
      </c>
      <c r="C59" s="176"/>
      <c r="D59" s="176"/>
      <c r="E59" s="177"/>
      <c r="F59" s="177"/>
      <c r="G59" s="200"/>
      <c r="H59" s="199">
        <f>H57-H58</f>
        <v>0</v>
      </c>
    </row>
    <row r="60" spans="1:13" ht="15.75" x14ac:dyDescent="0.25">
      <c r="A60" s="304" t="s">
        <v>7</v>
      </c>
      <c r="B60" s="177" t="s">
        <v>74</v>
      </c>
      <c r="C60" s="177"/>
      <c r="D60" s="298">
        <v>1</v>
      </c>
      <c r="E60" s="299">
        <v>1</v>
      </c>
      <c r="F60" s="300">
        <v>175.25</v>
      </c>
      <c r="G60" s="305">
        <v>0.2</v>
      </c>
      <c r="H60" s="199">
        <f>F60*E60*D60</f>
        <v>175.25</v>
      </c>
    </row>
    <row r="61" spans="1:13" ht="15.75" x14ac:dyDescent="0.25">
      <c r="A61" s="304"/>
      <c r="B61" s="177" t="s">
        <v>72</v>
      </c>
      <c r="C61" s="177"/>
      <c r="D61" s="298"/>
      <c r="E61" s="298"/>
      <c r="F61" s="298"/>
      <c r="G61" s="298"/>
      <c r="H61" s="199">
        <f>H60*G60</f>
        <v>35.050000000000004</v>
      </c>
    </row>
    <row r="62" spans="1:13" ht="15.75" x14ac:dyDescent="0.25">
      <c r="A62" s="304"/>
      <c r="B62" s="306" t="s">
        <v>75</v>
      </c>
      <c r="C62" s="306"/>
      <c r="D62" s="306"/>
      <c r="E62" s="306"/>
      <c r="F62" s="201"/>
      <c r="G62" s="201"/>
      <c r="H62" s="199">
        <f>H60-H61</f>
        <v>140.19999999999999</v>
      </c>
    </row>
    <row r="63" spans="1:13" ht="15.75" x14ac:dyDescent="0.25">
      <c r="A63" s="202" t="s">
        <v>9</v>
      </c>
      <c r="B63" s="306" t="s">
        <v>267</v>
      </c>
      <c r="C63" s="306"/>
      <c r="D63" s="306"/>
      <c r="E63" s="306"/>
      <c r="F63" s="201"/>
      <c r="G63" s="201"/>
      <c r="H63" s="199">
        <v>100</v>
      </c>
    </row>
    <row r="64" spans="1:13" ht="15.75" x14ac:dyDescent="0.25">
      <c r="A64" s="202" t="s">
        <v>17</v>
      </c>
      <c r="B64" s="203" t="s">
        <v>250</v>
      </c>
      <c r="C64" s="203"/>
      <c r="D64" s="203"/>
      <c r="E64" s="203" t="s">
        <v>163</v>
      </c>
      <c r="F64" s="201"/>
      <c r="G64" s="201"/>
      <c r="H64" s="199">
        <v>11</v>
      </c>
      <c r="J64" s="125"/>
      <c r="K64" s="13"/>
      <c r="L64" s="13"/>
      <c r="M64" s="35">
        <v>0</v>
      </c>
    </row>
    <row r="65" spans="1:13" ht="15.75" x14ac:dyDescent="0.25">
      <c r="A65" s="202" t="s">
        <v>40</v>
      </c>
      <c r="B65" s="204" t="s">
        <v>223</v>
      </c>
      <c r="C65" s="203"/>
      <c r="D65" s="203"/>
      <c r="E65" s="203"/>
      <c r="F65" s="201"/>
      <c r="G65" s="201"/>
      <c r="H65" s="199">
        <v>4.0599999999999996</v>
      </c>
      <c r="J65" s="149"/>
      <c r="K65" s="13"/>
      <c r="L65" s="13"/>
      <c r="M65" s="35"/>
    </row>
    <row r="66" spans="1:13" ht="15.75" x14ac:dyDescent="0.25">
      <c r="A66" s="202" t="s">
        <v>42</v>
      </c>
      <c r="B66" s="204" t="s">
        <v>268</v>
      </c>
      <c r="C66" s="204"/>
      <c r="D66" s="204"/>
      <c r="E66" s="205">
        <v>0</v>
      </c>
      <c r="F66" s="206"/>
      <c r="G66" s="206"/>
      <c r="H66" s="199">
        <v>0</v>
      </c>
    </row>
    <row r="67" spans="1:13" ht="15.75" x14ac:dyDescent="0.25">
      <c r="A67" s="207"/>
      <c r="B67" s="307" t="s">
        <v>45</v>
      </c>
      <c r="C67" s="307"/>
      <c r="D67" s="307"/>
      <c r="E67" s="307"/>
      <c r="F67" s="208"/>
      <c r="G67" s="208"/>
      <c r="H67" s="209">
        <f>H59+H62+H63+H64+H65+H66</f>
        <v>255.26</v>
      </c>
    </row>
    <row r="68" spans="1:13" ht="15.75" x14ac:dyDescent="0.25">
      <c r="A68" s="297" t="s">
        <v>79</v>
      </c>
      <c r="B68" s="297"/>
      <c r="C68" s="297"/>
      <c r="D68" s="297"/>
      <c r="E68" s="297"/>
      <c r="F68" s="297"/>
      <c r="G68" s="297"/>
      <c r="H68" s="297"/>
    </row>
    <row r="69" spans="1:13" ht="15.75" x14ac:dyDescent="0.25">
      <c r="A69" s="202" t="s">
        <v>47</v>
      </c>
      <c r="B69" s="176" t="s">
        <v>80</v>
      </c>
      <c r="C69" s="176"/>
      <c r="D69" s="210"/>
      <c r="E69" s="210"/>
      <c r="F69" s="201"/>
      <c r="G69" s="201"/>
      <c r="H69" s="211">
        <f>H44</f>
        <v>366.14709741600001</v>
      </c>
    </row>
    <row r="70" spans="1:13" ht="15.75" x14ac:dyDescent="0.25">
      <c r="A70" s="202" t="s">
        <v>52</v>
      </c>
      <c r="B70" s="176" t="s">
        <v>81</v>
      </c>
      <c r="C70" s="176"/>
      <c r="D70" s="210"/>
      <c r="E70" s="210"/>
      <c r="F70" s="201"/>
      <c r="G70" s="201"/>
      <c r="H70" s="211">
        <f>H54</f>
        <v>482.11312000000004</v>
      </c>
    </row>
    <row r="71" spans="1:13" ht="15.75" x14ac:dyDescent="0.25">
      <c r="A71" s="202" t="s">
        <v>64</v>
      </c>
      <c r="B71" s="176" t="s">
        <v>82</v>
      </c>
      <c r="C71" s="176"/>
      <c r="D71" s="210"/>
      <c r="E71" s="210"/>
      <c r="F71" s="201"/>
      <c r="G71" s="201"/>
      <c r="H71" s="211">
        <f>H67</f>
        <v>255.26</v>
      </c>
    </row>
    <row r="72" spans="1:13" ht="15.75" x14ac:dyDescent="0.25">
      <c r="A72" s="207"/>
      <c r="B72" s="212" t="s">
        <v>45</v>
      </c>
      <c r="C72" s="212"/>
      <c r="D72" s="212"/>
      <c r="E72" s="212"/>
      <c r="F72" s="208"/>
      <c r="G72" s="208"/>
      <c r="H72" s="209">
        <f>SUM(H69:H71)</f>
        <v>1103.5202174159999</v>
      </c>
    </row>
    <row r="73" spans="1:13" ht="15.75" x14ac:dyDescent="0.25">
      <c r="A73" s="213">
        <v>3</v>
      </c>
      <c r="B73" s="297" t="s">
        <v>83</v>
      </c>
      <c r="C73" s="297"/>
      <c r="D73" s="297"/>
      <c r="E73" s="297"/>
      <c r="F73" s="297"/>
      <c r="G73" s="297"/>
      <c r="H73" s="297"/>
    </row>
    <row r="74" spans="1:13" ht="15.75" x14ac:dyDescent="0.25">
      <c r="A74" s="175" t="s">
        <v>4</v>
      </c>
      <c r="B74" s="182" t="s">
        <v>84</v>
      </c>
      <c r="C74" s="182"/>
      <c r="D74" s="214"/>
      <c r="E74" s="214"/>
      <c r="F74" s="214"/>
      <c r="G74" s="179">
        <f>1/12*5%</f>
        <v>4.1666666666666666E-3</v>
      </c>
      <c r="H74" s="178">
        <f>SUM($H$38*G74)</f>
        <v>5.4587083333333331</v>
      </c>
      <c r="I74" s="115"/>
    </row>
    <row r="75" spans="1:13" ht="15.75" x14ac:dyDescent="0.25">
      <c r="A75" s="175" t="s">
        <v>7</v>
      </c>
      <c r="B75" s="182" t="s">
        <v>85</v>
      </c>
      <c r="C75" s="182"/>
      <c r="D75" s="177"/>
      <c r="E75" s="177"/>
      <c r="F75" s="178"/>
      <c r="G75" s="179">
        <f>G74*0.08</f>
        <v>3.3333333333333332E-4</v>
      </c>
      <c r="H75" s="178">
        <f>SUM($H$38*G75)</f>
        <v>0.43669666666666662</v>
      </c>
    </row>
    <row r="76" spans="1:13" ht="15.75" x14ac:dyDescent="0.25">
      <c r="A76" s="175" t="s">
        <v>9</v>
      </c>
      <c r="B76" s="182" t="s">
        <v>86</v>
      </c>
      <c r="C76" s="182"/>
      <c r="D76" s="215"/>
      <c r="E76" s="215"/>
      <c r="F76" s="215"/>
      <c r="G76" s="165">
        <f>(0.08*0.4*0.9)*(1+0.0833+0.121)</f>
        <v>3.4683840000000001E-2</v>
      </c>
      <c r="H76" s="216">
        <f>(ROUND(SUM($H$38*G76),2))</f>
        <v>45.44</v>
      </c>
    </row>
    <row r="77" spans="1:13" ht="15.75" x14ac:dyDescent="0.25">
      <c r="A77" s="175" t="s">
        <v>17</v>
      </c>
      <c r="B77" s="177" t="s">
        <v>87</v>
      </c>
      <c r="C77" s="177"/>
      <c r="D77" s="214"/>
      <c r="E77" s="214"/>
      <c r="F77" s="214"/>
      <c r="G77" s="179">
        <v>1.9400000000000001E-2</v>
      </c>
      <c r="H77" s="178">
        <f>SUM($H$38*G77)</f>
        <v>25.415745999999999</v>
      </c>
      <c r="I77" s="115"/>
    </row>
    <row r="78" spans="1:13" ht="15.75" x14ac:dyDescent="0.25">
      <c r="A78" s="175" t="s">
        <v>40</v>
      </c>
      <c r="B78" s="182" t="s">
        <v>225</v>
      </c>
      <c r="C78" s="182"/>
      <c r="D78" s="177"/>
      <c r="E78" s="177"/>
      <c r="F78" s="178"/>
      <c r="G78" s="179">
        <f>G77*G54</f>
        <v>7.1392000000000027E-3</v>
      </c>
      <c r="H78" s="178">
        <f>SUM($H$38*G78)</f>
        <v>9.3529945280000035</v>
      </c>
    </row>
    <row r="79" spans="1:13" ht="15.75" x14ac:dyDescent="0.25">
      <c r="A79" s="175" t="s">
        <v>42</v>
      </c>
      <c r="B79" s="177" t="s">
        <v>89</v>
      </c>
      <c r="C79" s="177"/>
      <c r="D79" s="215"/>
      <c r="E79" s="215"/>
      <c r="F79" s="215"/>
      <c r="G79" s="163">
        <f>4%-G76</f>
        <v>5.3161600000000003E-3</v>
      </c>
      <c r="H79" s="178">
        <f>SUM($H$38*G79)</f>
        <v>6.9646480543999996</v>
      </c>
    </row>
    <row r="80" spans="1:13" ht="15.75" x14ac:dyDescent="0.25">
      <c r="A80" s="217"/>
      <c r="B80" s="185" t="s">
        <v>45</v>
      </c>
      <c r="C80" s="185"/>
      <c r="D80" s="186"/>
      <c r="E80" s="186"/>
      <c r="F80" s="218"/>
      <c r="G80" s="195">
        <f>SUM(G74:G79)</f>
        <v>7.1039199999999997E-2</v>
      </c>
      <c r="H80" s="196">
        <f>SUM(H74:H79)</f>
        <v>93.068793582400005</v>
      </c>
    </row>
    <row r="81" spans="1:9" ht="15.75" x14ac:dyDescent="0.25">
      <c r="A81" s="173">
        <v>4</v>
      </c>
      <c r="B81" s="308" t="s">
        <v>90</v>
      </c>
      <c r="C81" s="308"/>
      <c r="D81" s="308"/>
      <c r="E81" s="308"/>
      <c r="F81" s="308"/>
      <c r="G81" s="308"/>
      <c r="H81" s="308"/>
    </row>
    <row r="82" spans="1:9" ht="15.75" x14ac:dyDescent="0.25">
      <c r="A82" s="219" t="s">
        <v>91</v>
      </c>
      <c r="B82" s="297" t="s">
        <v>236</v>
      </c>
      <c r="C82" s="297"/>
      <c r="D82" s="297"/>
      <c r="E82" s="297"/>
      <c r="F82" s="297"/>
      <c r="G82" s="297"/>
      <c r="H82" s="297"/>
    </row>
    <row r="83" spans="1:9" ht="15.75" x14ac:dyDescent="0.25">
      <c r="A83" s="175" t="s">
        <v>4</v>
      </c>
      <c r="B83" s="182" t="s">
        <v>226</v>
      </c>
      <c r="C83" s="182"/>
      <c r="D83" s="214"/>
      <c r="E83" s="214"/>
      <c r="F83" s="214"/>
      <c r="G83" s="179"/>
      <c r="H83" s="178"/>
    </row>
    <row r="84" spans="1:9" ht="15.75" x14ac:dyDescent="0.25">
      <c r="A84" s="220" t="s">
        <v>7</v>
      </c>
      <c r="B84" s="182" t="s">
        <v>227</v>
      </c>
      <c r="C84" s="309" t="s">
        <v>95</v>
      </c>
      <c r="D84" s="168">
        <v>5.96</v>
      </c>
      <c r="E84" s="309" t="s">
        <v>96</v>
      </c>
      <c r="F84" s="170">
        <v>1</v>
      </c>
      <c r="G84" s="179">
        <f t="shared" ref="G84:G89" si="1">D84/360*F84</f>
        <v>1.6555555555555556E-2</v>
      </c>
      <c r="H84" s="178">
        <f t="shared" ref="H84:H88" si="2">SUM(H$38*G84)</f>
        <v>21.689267777777776</v>
      </c>
    </row>
    <row r="85" spans="1:9" ht="15.75" x14ac:dyDescent="0.25">
      <c r="A85" s="175" t="s">
        <v>9</v>
      </c>
      <c r="B85" s="182" t="s">
        <v>228</v>
      </c>
      <c r="C85" s="309"/>
      <c r="D85" s="168">
        <v>5</v>
      </c>
      <c r="E85" s="309"/>
      <c r="F85" s="170">
        <v>1.4999999999999999E-2</v>
      </c>
      <c r="G85" s="179">
        <f t="shared" si="1"/>
        <v>2.0833333333333332E-4</v>
      </c>
      <c r="H85" s="178">
        <f t="shared" si="2"/>
        <v>0.27293541666666665</v>
      </c>
    </row>
    <row r="86" spans="1:9" ht="15.75" x14ac:dyDescent="0.25">
      <c r="A86" s="175" t="s">
        <v>17</v>
      </c>
      <c r="B86" s="182" t="s">
        <v>229</v>
      </c>
      <c r="C86" s="309"/>
      <c r="D86" s="168">
        <v>15</v>
      </c>
      <c r="E86" s="309"/>
      <c r="F86" s="171">
        <v>7.7999999999999996E-3</v>
      </c>
      <c r="G86" s="179">
        <f t="shared" si="1"/>
        <v>3.2499999999999999E-4</v>
      </c>
      <c r="H86" s="178">
        <f t="shared" si="2"/>
        <v>0.42577924999999994</v>
      </c>
    </row>
    <row r="87" spans="1:9" ht="15.75" x14ac:dyDescent="0.25">
      <c r="A87" s="175" t="s">
        <v>40</v>
      </c>
      <c r="B87" s="182" t="s">
        <v>230</v>
      </c>
      <c r="C87" s="309"/>
      <c r="D87" s="168">
        <v>120</v>
      </c>
      <c r="E87" s="309"/>
      <c r="F87" s="170">
        <v>1.8599999999999998E-2</v>
      </c>
      <c r="G87" s="179">
        <v>5.9999999999999995E-4</v>
      </c>
      <c r="H87" s="178">
        <f t="shared" si="2"/>
        <v>0.78605399999999992</v>
      </c>
    </row>
    <row r="88" spans="1:9" ht="15.75" x14ac:dyDescent="0.25">
      <c r="A88" s="175" t="s">
        <v>42</v>
      </c>
      <c r="B88" s="182" t="s">
        <v>101</v>
      </c>
      <c r="C88" s="309"/>
      <c r="D88" s="169"/>
      <c r="E88" s="309"/>
      <c r="F88" s="172"/>
      <c r="G88" s="179">
        <f t="shared" si="1"/>
        <v>0</v>
      </c>
      <c r="H88" s="221">
        <f t="shared" si="2"/>
        <v>0</v>
      </c>
    </row>
    <row r="89" spans="1:9" ht="15.75" x14ac:dyDescent="0.25">
      <c r="A89" s="175" t="s">
        <v>61</v>
      </c>
      <c r="B89" s="182"/>
      <c r="C89" s="309"/>
      <c r="D89" s="169"/>
      <c r="E89" s="309"/>
      <c r="F89" s="222"/>
      <c r="G89" s="179">
        <f t="shared" si="1"/>
        <v>0</v>
      </c>
      <c r="H89" s="221"/>
    </row>
    <row r="90" spans="1:9" ht="15.75" x14ac:dyDescent="0.25">
      <c r="A90" s="201"/>
      <c r="B90" s="177" t="s">
        <v>102</v>
      </c>
      <c r="C90" s="177"/>
      <c r="D90" s="177"/>
      <c r="E90" s="177"/>
      <c r="F90" s="178"/>
      <c r="G90" s="179">
        <f>SUM(G83:G89)</f>
        <v>1.7688888888888889E-2</v>
      </c>
      <c r="H90" s="178">
        <f>SUM(H83:H89)</f>
        <v>23.174036444444443</v>
      </c>
      <c r="I90" s="115"/>
    </row>
    <row r="91" spans="1:9" ht="15.75" x14ac:dyDescent="0.25">
      <c r="A91" s="175" t="s">
        <v>42</v>
      </c>
      <c r="B91" s="182" t="s">
        <v>103</v>
      </c>
      <c r="C91" s="182"/>
      <c r="D91" s="177"/>
      <c r="E91" s="177"/>
      <c r="F91" s="178"/>
      <c r="G91" s="179">
        <v>0</v>
      </c>
      <c r="H91" s="178">
        <v>0</v>
      </c>
    </row>
    <row r="92" spans="1:9" ht="15.75" x14ac:dyDescent="0.25">
      <c r="A92" s="217"/>
      <c r="B92" s="185" t="s">
        <v>45</v>
      </c>
      <c r="C92" s="185"/>
      <c r="D92" s="186"/>
      <c r="E92" s="186"/>
      <c r="F92" s="218"/>
      <c r="G92" s="195">
        <f>G91+G90</f>
        <v>1.7688888888888889E-2</v>
      </c>
      <c r="H92" s="196">
        <f>SUM(H90:H91)</f>
        <v>23.174036444444443</v>
      </c>
    </row>
    <row r="93" spans="1:9" ht="15.75" x14ac:dyDescent="0.25">
      <c r="A93" s="219" t="s">
        <v>104</v>
      </c>
      <c r="B93" s="297" t="s">
        <v>232</v>
      </c>
      <c r="C93" s="297"/>
      <c r="D93" s="297"/>
      <c r="E93" s="297"/>
      <c r="F93" s="297"/>
      <c r="G93" s="297"/>
      <c r="H93" s="297"/>
    </row>
    <row r="94" spans="1:9" ht="15.75" x14ac:dyDescent="0.25">
      <c r="A94" s="175" t="s">
        <v>4</v>
      </c>
      <c r="B94" s="182" t="s">
        <v>234</v>
      </c>
      <c r="C94" s="182"/>
      <c r="D94" s="214"/>
      <c r="E94" s="214"/>
      <c r="F94" s="214"/>
      <c r="G94" s="163">
        <v>0</v>
      </c>
      <c r="H94" s="178">
        <f>SUM(H$38*G94)</f>
        <v>0</v>
      </c>
    </row>
    <row r="95" spans="1:9" ht="15.75" x14ac:dyDescent="0.25">
      <c r="A95" s="175" t="s">
        <v>7</v>
      </c>
      <c r="B95" s="182" t="s">
        <v>107</v>
      </c>
      <c r="C95" s="182"/>
      <c r="D95" s="214"/>
      <c r="E95" s="214"/>
      <c r="F95" s="214"/>
      <c r="G95" s="179">
        <f>G94*G54</f>
        <v>0</v>
      </c>
      <c r="H95" s="178">
        <f>SUM($H$38*G95)</f>
        <v>0</v>
      </c>
    </row>
    <row r="96" spans="1:9" ht="15.75" x14ac:dyDescent="0.25">
      <c r="A96" s="217"/>
      <c r="B96" s="185" t="s">
        <v>45</v>
      </c>
      <c r="C96" s="185"/>
      <c r="D96" s="186"/>
      <c r="E96" s="186"/>
      <c r="F96" s="218"/>
      <c r="G96" s="195">
        <f>G95+G94</f>
        <v>0</v>
      </c>
      <c r="H96" s="196">
        <f>SUM(H94:H95)</f>
        <v>0</v>
      </c>
    </row>
    <row r="97" spans="1:10" ht="15.75" x14ac:dyDescent="0.25">
      <c r="A97" s="297" t="s">
        <v>108</v>
      </c>
      <c r="B97" s="297"/>
      <c r="C97" s="297"/>
      <c r="D97" s="297"/>
      <c r="E97" s="297"/>
      <c r="F97" s="297"/>
      <c r="G97" s="297"/>
      <c r="H97" s="297"/>
    </row>
    <row r="98" spans="1:10" ht="15.75" x14ac:dyDescent="0.25">
      <c r="A98" s="175" t="s">
        <v>91</v>
      </c>
      <c r="B98" s="182" t="s">
        <v>235</v>
      </c>
      <c r="C98" s="182"/>
      <c r="D98" s="214"/>
      <c r="E98" s="214"/>
      <c r="F98" s="214"/>
      <c r="G98" s="179">
        <f>G92</f>
        <v>1.7688888888888889E-2</v>
      </c>
      <c r="H98" s="178">
        <f>H92</f>
        <v>23.174036444444443</v>
      </c>
    </row>
    <row r="99" spans="1:10" ht="15.75" x14ac:dyDescent="0.25">
      <c r="A99" s="175" t="s">
        <v>104</v>
      </c>
      <c r="B99" s="182" t="s">
        <v>233</v>
      </c>
      <c r="C99" s="182"/>
      <c r="D99" s="214"/>
      <c r="E99" s="214"/>
      <c r="F99" s="214"/>
      <c r="G99" s="179">
        <f>G96</f>
        <v>0</v>
      </c>
      <c r="H99" s="178">
        <f>H96</f>
        <v>0</v>
      </c>
    </row>
    <row r="100" spans="1:10" ht="15.75" x14ac:dyDescent="0.25">
      <c r="A100" s="217"/>
      <c r="B100" s="185" t="s">
        <v>45</v>
      </c>
      <c r="C100" s="185"/>
      <c r="D100" s="186"/>
      <c r="E100" s="186"/>
      <c r="F100" s="218"/>
      <c r="G100" s="195">
        <f>G96+G92</f>
        <v>1.7688888888888889E-2</v>
      </c>
      <c r="H100" s="196">
        <f>SUM(H98:H99)</f>
        <v>23.174036444444443</v>
      </c>
    </row>
    <row r="101" spans="1:10" ht="15.75" x14ac:dyDescent="0.25">
      <c r="A101" s="219">
        <v>5</v>
      </c>
      <c r="B101" s="297" t="s">
        <v>110</v>
      </c>
      <c r="C101" s="297"/>
      <c r="D101" s="297"/>
      <c r="E101" s="297"/>
      <c r="F101" s="297"/>
      <c r="G101" s="297"/>
      <c r="H101" s="297"/>
    </row>
    <row r="102" spans="1:10" ht="15.75" x14ac:dyDescent="0.25">
      <c r="A102" s="175" t="s">
        <v>4</v>
      </c>
      <c r="B102" s="201" t="s">
        <v>111</v>
      </c>
      <c r="C102" s="201"/>
      <c r="D102" s="223"/>
      <c r="E102" s="177"/>
      <c r="F102" s="199"/>
      <c r="G102" s="199"/>
      <c r="H102" s="199">
        <v>18.89</v>
      </c>
    </row>
    <row r="103" spans="1:10" ht="15.75" x14ac:dyDescent="0.25">
      <c r="A103" s="175" t="s">
        <v>7</v>
      </c>
      <c r="B103" s="201" t="s">
        <v>112</v>
      </c>
      <c r="C103" s="201"/>
      <c r="D103" s="223"/>
      <c r="E103" s="177"/>
      <c r="F103" s="199"/>
      <c r="G103" s="199"/>
      <c r="H103" s="199"/>
    </row>
    <row r="104" spans="1:10" ht="15.75" x14ac:dyDescent="0.25">
      <c r="A104" s="175" t="s">
        <v>9</v>
      </c>
      <c r="B104" s="201" t="s">
        <v>113</v>
      </c>
      <c r="C104" s="201"/>
      <c r="D104" s="223"/>
      <c r="E104" s="177"/>
      <c r="F104" s="199"/>
      <c r="G104" s="199"/>
      <c r="H104" s="199"/>
    </row>
    <row r="105" spans="1:10" ht="15.75" x14ac:dyDescent="0.25">
      <c r="A105" s="175" t="s">
        <v>17</v>
      </c>
      <c r="B105" s="201" t="s">
        <v>164</v>
      </c>
      <c r="C105" s="201"/>
      <c r="D105" s="223"/>
      <c r="E105" s="177"/>
      <c r="F105" s="199"/>
      <c r="G105" s="199"/>
      <c r="H105" s="199">
        <v>24.56</v>
      </c>
    </row>
    <row r="106" spans="1:10" ht="15.75" x14ac:dyDescent="0.25">
      <c r="A106" s="175" t="s">
        <v>40</v>
      </c>
      <c r="B106" s="201" t="s">
        <v>248</v>
      </c>
      <c r="C106" s="201"/>
      <c r="D106" s="223"/>
      <c r="E106" s="177"/>
      <c r="F106" s="199"/>
      <c r="G106" s="199"/>
      <c r="H106" s="199">
        <v>3.91</v>
      </c>
    </row>
    <row r="107" spans="1:10" ht="15.75" x14ac:dyDescent="0.25">
      <c r="A107" s="217"/>
      <c r="B107" s="185" t="s">
        <v>45</v>
      </c>
      <c r="C107" s="185"/>
      <c r="D107" s="186"/>
      <c r="E107" s="186"/>
      <c r="F107" s="218"/>
      <c r="G107" s="195"/>
      <c r="H107" s="196">
        <f>SUM(H102:H106)</f>
        <v>47.36</v>
      </c>
    </row>
    <row r="108" spans="1:10" ht="15.75" x14ac:dyDescent="0.25">
      <c r="A108" s="219">
        <v>6</v>
      </c>
      <c r="B108" s="297" t="s">
        <v>114</v>
      </c>
      <c r="C108" s="297"/>
      <c r="D108" s="297"/>
      <c r="E108" s="297"/>
      <c r="F108" s="297"/>
      <c r="G108" s="297"/>
      <c r="H108" s="297"/>
    </row>
    <row r="109" spans="1:10" ht="15.75" x14ac:dyDescent="0.25">
      <c r="A109" s="224" t="s">
        <v>4</v>
      </c>
      <c r="B109" s="177"/>
      <c r="C109" s="177"/>
      <c r="D109" s="177"/>
      <c r="E109" s="177"/>
      <c r="F109" s="177" t="s">
        <v>115</v>
      </c>
      <c r="G109" s="163">
        <v>0.03</v>
      </c>
      <c r="H109" s="178">
        <f>G109*H124</f>
        <v>77.316391423285324</v>
      </c>
    </row>
    <row r="110" spans="1:10" ht="15.75" x14ac:dyDescent="0.25">
      <c r="A110" s="224" t="s">
        <v>7</v>
      </c>
      <c r="B110" s="177"/>
      <c r="C110" s="177"/>
      <c r="D110" s="177"/>
      <c r="E110" s="177"/>
      <c r="F110" s="175" t="s">
        <v>116</v>
      </c>
      <c r="G110" s="163">
        <v>6.7900000000000002E-2</v>
      </c>
      <c r="H110" s="178">
        <f>(H109+H124)*$G$110</f>
        <v>180.24254889901022</v>
      </c>
    </row>
    <row r="111" spans="1:10" ht="15.75" x14ac:dyDescent="0.25">
      <c r="A111" s="224" t="s">
        <v>9</v>
      </c>
      <c r="B111" s="177"/>
      <c r="C111" s="177"/>
      <c r="D111" s="177"/>
      <c r="E111" s="177"/>
      <c r="F111" s="175" t="s">
        <v>117</v>
      </c>
      <c r="G111" s="225">
        <f>SUM(G112:G116)</f>
        <v>8.6499999999999994E-2</v>
      </c>
      <c r="H111" s="178">
        <f>H113+H114+H116</f>
        <v>268.42668521257212</v>
      </c>
    </row>
    <row r="112" spans="1:10" ht="15.75" x14ac:dyDescent="0.25">
      <c r="A112" s="224" t="s">
        <v>118</v>
      </c>
      <c r="B112" s="177"/>
      <c r="C112" s="177"/>
      <c r="D112" s="177"/>
      <c r="E112" s="177"/>
      <c r="F112" s="226" t="s">
        <v>119</v>
      </c>
      <c r="G112" s="179">
        <v>0</v>
      </c>
      <c r="H112" s="178"/>
      <c r="J112" s="120"/>
    </row>
    <row r="113" spans="1:9" ht="15.75" x14ac:dyDescent="0.25">
      <c r="A113" s="224" t="s">
        <v>120</v>
      </c>
      <c r="B113" s="177"/>
      <c r="C113" s="177"/>
      <c r="D113" s="177"/>
      <c r="E113" s="177"/>
      <c r="F113" s="226" t="s">
        <v>121</v>
      </c>
      <c r="G113" s="163">
        <v>6.4999999999999997E-3</v>
      </c>
      <c r="H113" s="178">
        <f>((H109+H110+H124)/0.9135)*G113</f>
        <v>20.170791374355126</v>
      </c>
    </row>
    <row r="114" spans="1:9" ht="15.75" x14ac:dyDescent="0.25">
      <c r="A114" s="224" t="s">
        <v>122</v>
      </c>
      <c r="B114" s="177"/>
      <c r="C114" s="177"/>
      <c r="D114" s="177"/>
      <c r="E114" s="177"/>
      <c r="F114" s="226" t="s">
        <v>123</v>
      </c>
      <c r="G114" s="163">
        <v>0.03</v>
      </c>
      <c r="H114" s="178">
        <f>((H109+H110+H124)/0.9135)*G114</f>
        <v>93.09596018933135</v>
      </c>
    </row>
    <row r="115" spans="1:9" ht="15.75" x14ac:dyDescent="0.25">
      <c r="A115" s="224" t="s">
        <v>124</v>
      </c>
      <c r="B115" s="177"/>
      <c r="C115" s="177"/>
      <c r="D115" s="177"/>
      <c r="E115" s="177"/>
      <c r="F115" s="226" t="s">
        <v>125</v>
      </c>
      <c r="G115" s="179">
        <v>0</v>
      </c>
      <c r="H115" s="178"/>
    </row>
    <row r="116" spans="1:9" ht="15.75" x14ac:dyDescent="0.25">
      <c r="A116" s="224" t="s">
        <v>126</v>
      </c>
      <c r="B116" s="177"/>
      <c r="C116" s="177"/>
      <c r="D116" s="177"/>
      <c r="E116" s="177"/>
      <c r="F116" s="226" t="s">
        <v>127</v>
      </c>
      <c r="G116" s="179">
        <v>0.05</v>
      </c>
      <c r="H116" s="178">
        <f>((H109+H110+H124)/0.9135)*G116</f>
        <v>155.15993364888561</v>
      </c>
    </row>
    <row r="117" spans="1:9" ht="15.75" x14ac:dyDescent="0.25">
      <c r="A117" s="217"/>
      <c r="B117" s="185" t="s">
        <v>45</v>
      </c>
      <c r="C117" s="185"/>
      <c r="D117" s="186"/>
      <c r="E117" s="186"/>
      <c r="F117" s="218"/>
      <c r="G117" s="195">
        <f>G111+G110+G109</f>
        <v>0.18439999999999998</v>
      </c>
      <c r="H117" s="196">
        <f>H109+H110+H111</f>
        <v>525.98562553486772</v>
      </c>
    </row>
    <row r="118" spans="1:9" ht="15.75" x14ac:dyDescent="0.25">
      <c r="A118" s="227"/>
      <c r="B118" s="297" t="s">
        <v>128</v>
      </c>
      <c r="C118" s="297"/>
      <c r="D118" s="297"/>
      <c r="E118" s="297"/>
      <c r="F118" s="297"/>
      <c r="G118" s="297"/>
      <c r="H118" s="297"/>
    </row>
    <row r="119" spans="1:9" ht="15.75" x14ac:dyDescent="0.25">
      <c r="A119" s="228" t="s">
        <v>4</v>
      </c>
      <c r="B119" s="177" t="s">
        <v>30</v>
      </c>
      <c r="C119" s="177"/>
      <c r="D119" s="177"/>
      <c r="E119" s="177"/>
      <c r="F119" s="178"/>
      <c r="G119" s="179">
        <f>SUM(H119/H$126)</f>
        <v>0.42217406555632714</v>
      </c>
      <c r="H119" s="178">
        <f>SUM(H38)</f>
        <v>1310.0899999999999</v>
      </c>
    </row>
    <row r="120" spans="1:9" ht="15.75" x14ac:dyDescent="0.25">
      <c r="A120" s="228" t="s">
        <v>7</v>
      </c>
      <c r="B120" s="177" t="s">
        <v>129</v>
      </c>
      <c r="C120" s="177"/>
      <c r="D120" s="177"/>
      <c r="E120" s="177"/>
      <c r="F120" s="178"/>
      <c r="G120" s="179">
        <f>SUM(H120/H$126)</f>
        <v>0.35560733736622274</v>
      </c>
      <c r="H120" s="178">
        <f>H72</f>
        <v>1103.5202174159999</v>
      </c>
    </row>
    <row r="121" spans="1:9" ht="15.75" x14ac:dyDescent="0.25">
      <c r="A121" s="228" t="s">
        <v>9</v>
      </c>
      <c r="B121" s="177" t="s">
        <v>130</v>
      </c>
      <c r="C121" s="177"/>
      <c r="D121" s="177"/>
      <c r="E121" s="177"/>
      <c r="F121" s="178"/>
      <c r="G121" s="179">
        <f>SUM(H121/H$126)</f>
        <v>2.9991245611449918E-2</v>
      </c>
      <c r="H121" s="178">
        <f>H80</f>
        <v>93.068793582400005</v>
      </c>
    </row>
    <row r="122" spans="1:9" ht="15.75" x14ac:dyDescent="0.25">
      <c r="A122" s="228" t="s">
        <v>17</v>
      </c>
      <c r="B122" s="177" t="s">
        <v>131</v>
      </c>
      <c r="C122" s="177"/>
      <c r="D122" s="177"/>
      <c r="E122" s="177"/>
      <c r="F122" s="178"/>
      <c r="G122" s="179">
        <f>SUM(H122/H$126)</f>
        <v>7.4677901373963644E-3</v>
      </c>
      <c r="H122" s="178">
        <f>H100</f>
        <v>23.174036444444443</v>
      </c>
    </row>
    <row r="123" spans="1:9" ht="15.75" x14ac:dyDescent="0.25">
      <c r="A123" s="228" t="s">
        <v>40</v>
      </c>
      <c r="B123" s="177" t="s">
        <v>110</v>
      </c>
      <c r="C123" s="177"/>
      <c r="D123" s="177"/>
      <c r="E123" s="177"/>
      <c r="F123" s="178"/>
      <c r="G123" s="179">
        <f>H123/H126</f>
        <v>1.5261671904027704E-2</v>
      </c>
      <c r="H123" s="178">
        <f>H107</f>
        <v>47.36</v>
      </c>
    </row>
    <row r="124" spans="1:9" ht="15.75" x14ac:dyDescent="0.25">
      <c r="A124" s="228"/>
      <c r="B124" s="177" t="s">
        <v>132</v>
      </c>
      <c r="C124" s="177"/>
      <c r="D124" s="177"/>
      <c r="E124" s="177"/>
      <c r="F124" s="178"/>
      <c r="G124" s="179">
        <f>SUM(G119:G123)</f>
        <v>0.83050211057542389</v>
      </c>
      <c r="H124" s="178">
        <f>SUM(H119:H123)</f>
        <v>2577.2130474428441</v>
      </c>
      <c r="I124" s="115"/>
    </row>
    <row r="125" spans="1:9" ht="15.75" x14ac:dyDescent="0.25">
      <c r="A125" s="228" t="s">
        <v>40</v>
      </c>
      <c r="B125" s="177" t="s">
        <v>133</v>
      </c>
      <c r="C125" s="177"/>
      <c r="D125" s="177"/>
      <c r="E125" s="177"/>
      <c r="F125" s="178"/>
      <c r="G125" s="179">
        <f>SUM(H125/H$126)</f>
        <v>0.16949788942457616</v>
      </c>
      <c r="H125" s="178">
        <f>H117</f>
        <v>525.98562553486772</v>
      </c>
      <c r="I125" s="115"/>
    </row>
    <row r="126" spans="1:9" ht="15.75" x14ac:dyDescent="0.25">
      <c r="A126" s="185"/>
      <c r="B126" s="185" t="s">
        <v>134</v>
      </c>
      <c r="C126" s="185"/>
      <c r="D126" s="185"/>
      <c r="E126" s="185"/>
      <c r="F126" s="185"/>
      <c r="G126" s="185">
        <f>SUM(G124+G125)</f>
        <v>1</v>
      </c>
      <c r="H126" s="229">
        <f>H125+H124</f>
        <v>3103.1986729777118</v>
      </c>
    </row>
    <row r="127" spans="1:9" ht="15.75" x14ac:dyDescent="0.25">
      <c r="A127" s="230"/>
      <c r="B127" s="297" t="s">
        <v>135</v>
      </c>
      <c r="C127" s="297"/>
      <c r="D127" s="297"/>
      <c r="E127" s="297"/>
      <c r="F127" s="297"/>
      <c r="G127" s="297"/>
      <c r="H127" s="297"/>
    </row>
    <row r="128" spans="1:9" ht="47.25" x14ac:dyDescent="0.25">
      <c r="A128" s="177"/>
      <c r="B128" s="231" t="s">
        <v>20</v>
      </c>
      <c r="C128" s="231"/>
      <c r="D128" s="232" t="s">
        <v>136</v>
      </c>
      <c r="E128" s="232" t="s">
        <v>137</v>
      </c>
      <c r="F128" s="233" t="s">
        <v>138</v>
      </c>
      <c r="G128" s="232" t="s">
        <v>139</v>
      </c>
      <c r="H128" s="234" t="s">
        <v>140</v>
      </c>
    </row>
    <row r="129" spans="1:8" ht="15.75" x14ac:dyDescent="0.25">
      <c r="A129" s="177"/>
      <c r="B129" s="224" t="s">
        <v>141</v>
      </c>
      <c r="C129" s="224"/>
      <c r="D129" s="224" t="s">
        <v>142</v>
      </c>
      <c r="E129" s="232" t="s">
        <v>143</v>
      </c>
      <c r="F129" s="233" t="s">
        <v>144</v>
      </c>
      <c r="G129" s="224" t="s">
        <v>145</v>
      </c>
      <c r="H129" s="235" t="s">
        <v>146</v>
      </c>
    </row>
    <row r="130" spans="1:8" ht="15.75" x14ac:dyDescent="0.25">
      <c r="A130" s="175"/>
      <c r="B130" s="236"/>
      <c r="C130" s="236"/>
      <c r="D130" s="237">
        <f>SUM(H126)</f>
        <v>3103.1986729777118</v>
      </c>
      <c r="E130" s="166">
        <v>1</v>
      </c>
      <c r="F130" s="237">
        <f>D130*E130</f>
        <v>3103.1986729777118</v>
      </c>
      <c r="G130" s="167">
        <v>1</v>
      </c>
      <c r="H130" s="178">
        <f>E130*D130</f>
        <v>3103.1986729777118</v>
      </c>
    </row>
    <row r="131" spans="1:8" ht="15.75" x14ac:dyDescent="0.25">
      <c r="A131" s="177"/>
      <c r="B131" s="231" t="s">
        <v>147</v>
      </c>
      <c r="C131" s="231"/>
      <c r="D131" s="201"/>
      <c r="E131" s="201"/>
      <c r="F131" s="201"/>
      <c r="G131" s="201"/>
      <c r="H131" s="238">
        <f>SUM(H130)</f>
        <v>3103.1986729777118</v>
      </c>
    </row>
    <row r="132" spans="1:8" ht="15.75" x14ac:dyDescent="0.25">
      <c r="A132" s="177"/>
      <c r="B132" s="231"/>
      <c r="C132" s="231"/>
      <c r="D132" s="239"/>
      <c r="E132" s="231"/>
      <c r="F132" s="231"/>
      <c r="G132" s="231"/>
      <c r="H132" s="231"/>
    </row>
    <row r="133" spans="1:8" ht="15.75" x14ac:dyDescent="0.25">
      <c r="A133" s="219"/>
      <c r="B133" s="297" t="s">
        <v>148</v>
      </c>
      <c r="C133" s="297"/>
      <c r="D133" s="297"/>
      <c r="E133" s="297"/>
      <c r="F133" s="297"/>
      <c r="G133" s="297"/>
      <c r="H133" s="297"/>
    </row>
    <row r="134" spans="1:8" ht="15.75" x14ac:dyDescent="0.25">
      <c r="A134" s="240"/>
      <c r="B134" s="240" t="s">
        <v>149</v>
      </c>
      <c r="C134" s="240"/>
      <c r="D134" s="240"/>
      <c r="E134" s="231"/>
      <c r="F134" s="231"/>
      <c r="G134" s="231"/>
      <c r="H134" s="241" t="s">
        <v>150</v>
      </c>
    </row>
    <row r="135" spans="1:8" ht="15.75" x14ac:dyDescent="0.25">
      <c r="A135" s="242" t="s">
        <v>4</v>
      </c>
      <c r="B135" s="243" t="s">
        <v>151</v>
      </c>
      <c r="C135" s="243"/>
      <c r="D135" s="243"/>
      <c r="E135" s="201"/>
      <c r="F135" s="201"/>
      <c r="G135" s="201"/>
      <c r="H135" s="241">
        <f>D130</f>
        <v>3103.1986729777118</v>
      </c>
    </row>
    <row r="136" spans="1:8" ht="15.75" x14ac:dyDescent="0.25">
      <c r="A136" s="242" t="s">
        <v>7</v>
      </c>
      <c r="B136" s="243" t="s">
        <v>152</v>
      </c>
      <c r="C136" s="243"/>
      <c r="D136" s="243"/>
      <c r="E136" s="201"/>
      <c r="F136" s="201"/>
      <c r="G136" s="201"/>
      <c r="H136" s="241">
        <f>H131</f>
        <v>3103.1986729777118</v>
      </c>
    </row>
    <row r="137" spans="1:8" ht="15.75" x14ac:dyDescent="0.25">
      <c r="A137" s="242" t="s">
        <v>17</v>
      </c>
      <c r="B137" s="176" t="s">
        <v>153</v>
      </c>
      <c r="C137" s="176"/>
      <c r="D137" s="243"/>
      <c r="E137" s="201"/>
      <c r="F137" s="201"/>
      <c r="G137" s="166">
        <v>12</v>
      </c>
      <c r="H137" s="241">
        <f>SUM(H136*G137)</f>
        <v>37238.384075732538</v>
      </c>
    </row>
    <row r="138" spans="1:8" ht="15.75" x14ac:dyDescent="0.25">
      <c r="A138" s="6"/>
      <c r="B138" s="6"/>
      <c r="C138" s="6"/>
      <c r="D138" s="6"/>
      <c r="E138" s="6"/>
      <c r="F138" s="6"/>
      <c r="G138" s="6"/>
      <c r="H138" s="6"/>
    </row>
    <row r="141" spans="1:8" x14ac:dyDescent="0.25">
      <c r="A141" s="150" t="s">
        <v>203</v>
      </c>
      <c r="B141" s="150"/>
    </row>
    <row r="142" spans="1:8" x14ac:dyDescent="0.25">
      <c r="A142" s="150" t="s">
        <v>204</v>
      </c>
      <c r="B142" s="150"/>
    </row>
    <row r="143" spans="1:8" x14ac:dyDescent="0.25">
      <c r="A143" s="150" t="s">
        <v>257</v>
      </c>
      <c r="B143" s="150"/>
    </row>
    <row r="144" spans="1:8" x14ac:dyDescent="0.25">
      <c r="A144" s="150"/>
      <c r="B144" s="150"/>
    </row>
    <row r="145" spans="1:6" x14ac:dyDescent="0.25">
      <c r="A145" s="150" t="s">
        <v>206</v>
      </c>
      <c r="B145" s="150"/>
    </row>
    <row r="147" spans="1:6" x14ac:dyDescent="0.25">
      <c r="A147" t="s">
        <v>207</v>
      </c>
    </row>
    <row r="148" spans="1:6" x14ac:dyDescent="0.25">
      <c r="A148" s="150" t="s">
        <v>208</v>
      </c>
    </row>
    <row r="149" spans="1:6" x14ac:dyDescent="0.25">
      <c r="A149" s="150" t="s">
        <v>209</v>
      </c>
    </row>
    <row r="150" spans="1:6" x14ac:dyDescent="0.25">
      <c r="A150" s="150"/>
    </row>
    <row r="151" spans="1:6" x14ac:dyDescent="0.25">
      <c r="A151" s="150" t="s">
        <v>210</v>
      </c>
    </row>
    <row r="152" spans="1:6" x14ac:dyDescent="0.25">
      <c r="A152" s="150"/>
    </row>
    <row r="153" spans="1:6" x14ac:dyDescent="0.25">
      <c r="A153" s="150" t="s">
        <v>211</v>
      </c>
    </row>
    <row r="154" spans="1:6" x14ac:dyDescent="0.25">
      <c r="A154" s="150"/>
    </row>
    <row r="155" spans="1:6" x14ac:dyDescent="0.25">
      <c r="A155" s="150"/>
    </row>
    <row r="156" spans="1:6" x14ac:dyDescent="0.25">
      <c r="A156" s="150" t="s">
        <v>206</v>
      </c>
    </row>
    <row r="157" spans="1:6" x14ac:dyDescent="0.25">
      <c r="A157" s="150" t="s">
        <v>222</v>
      </c>
    </row>
    <row r="158" spans="1:6" x14ac:dyDescent="0.25">
      <c r="B158" s="151" t="s">
        <v>213</v>
      </c>
      <c r="C158" s="152"/>
      <c r="D158" s="152"/>
      <c r="E158" s="152"/>
      <c r="F158" s="152"/>
    </row>
    <row r="159" spans="1:6" x14ac:dyDescent="0.25">
      <c r="B159" s="151"/>
      <c r="C159" s="152"/>
      <c r="D159" s="152"/>
      <c r="E159" s="152"/>
      <c r="F159" s="152"/>
    </row>
    <row r="160" spans="1:6" x14ac:dyDescent="0.25">
      <c r="B160" s="151" t="s">
        <v>214</v>
      </c>
      <c r="C160" s="152" t="s">
        <v>215</v>
      </c>
      <c r="D160" s="152" t="s">
        <v>216</v>
      </c>
      <c r="E160" s="152" t="s">
        <v>217</v>
      </c>
      <c r="F160" s="152" t="s">
        <v>218</v>
      </c>
    </row>
    <row r="161" spans="1:6" x14ac:dyDescent="0.25">
      <c r="B161" s="151" t="s">
        <v>219</v>
      </c>
      <c r="C161" s="153">
        <v>1.6500000000000001E-2</v>
      </c>
      <c r="D161" s="153">
        <v>7.5999999999999998E-2</v>
      </c>
      <c r="E161" s="154">
        <v>0.05</v>
      </c>
      <c r="F161" s="152">
        <v>0.85750000000000004</v>
      </c>
    </row>
    <row r="162" spans="1:6" x14ac:dyDescent="0.25">
      <c r="B162" s="151" t="s">
        <v>220</v>
      </c>
      <c r="C162" s="153">
        <v>6.4999999999999997E-3</v>
      </c>
      <c r="D162" s="154">
        <v>0.03</v>
      </c>
      <c r="E162" s="154">
        <v>0.05</v>
      </c>
      <c r="F162" s="152">
        <v>0.91349999999999998</v>
      </c>
    </row>
    <row r="163" spans="1:6" x14ac:dyDescent="0.25">
      <c r="B163" s="151" t="s">
        <v>221</v>
      </c>
      <c r="C163" s="153">
        <v>4.4000000000000003E-3</v>
      </c>
      <c r="D163" s="153">
        <v>2.35E-2</v>
      </c>
      <c r="E163" s="154">
        <v>0.05</v>
      </c>
      <c r="F163" s="152">
        <v>0.92210000000000003</v>
      </c>
    </row>
    <row r="165" spans="1:6" x14ac:dyDescent="0.25">
      <c r="A165" s="156" t="s">
        <v>224</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1">
      <formula1>$J$28:$J$31</formula1>
      <formula2>0</formula2>
    </dataValidation>
    <dataValidation type="list" operator="equal" allowBlank="1" showErrorMessage="1" promptTitle="Percentual" sqref="E31">
      <formula1>$K$28:$K$31</formula1>
      <formula2>0</formula2>
    </dataValidation>
  </dataValidations>
  <pageMargins left="0.7" right="0.7" top="0.75" bottom="0.75" header="0.3" footer="0.3"/>
  <pageSetup scale="4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5"/>
  <sheetViews>
    <sheetView zoomScale="90" zoomScaleNormal="90" workbookViewId="0">
      <selection activeCell="H115" sqref="H115"/>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c r="E2" s="3"/>
      <c r="F2" s="3" t="s">
        <v>2</v>
      </c>
      <c r="G2" s="3"/>
      <c r="H2" s="5"/>
    </row>
    <row r="3" spans="1:8" ht="15.75" x14ac:dyDescent="0.25">
      <c r="A3" s="273" t="s">
        <v>3</v>
      </c>
      <c r="B3" s="273"/>
      <c r="C3" s="273"/>
      <c r="D3" s="273"/>
      <c r="E3" s="273"/>
      <c r="F3" s="273"/>
      <c r="G3" s="273"/>
      <c r="H3" s="273"/>
    </row>
    <row r="4" spans="1:8" ht="15.75" x14ac:dyDescent="0.25">
      <c r="A4" s="6" t="s">
        <v>4</v>
      </c>
      <c r="B4" s="7" t="s">
        <v>5</v>
      </c>
      <c r="C4" s="7"/>
      <c r="D4" s="8"/>
      <c r="E4" s="291" t="s">
        <v>6</v>
      </c>
      <c r="F4" s="291"/>
      <c r="G4" s="291"/>
      <c r="H4" s="291"/>
    </row>
    <row r="5" spans="1:8" ht="15.75" x14ac:dyDescent="0.25">
      <c r="A5" s="6" t="s">
        <v>7</v>
      </c>
      <c r="B5" s="7" t="s">
        <v>8</v>
      </c>
      <c r="C5" s="7"/>
      <c r="D5" s="9"/>
      <c r="E5" s="291"/>
      <c r="F5" s="291"/>
      <c r="G5" s="291"/>
      <c r="H5" s="291"/>
    </row>
    <row r="6" spans="1:8" ht="15.75" x14ac:dyDescent="0.25">
      <c r="A6" s="6" t="s">
        <v>9</v>
      </c>
      <c r="B6" s="7" t="s">
        <v>10</v>
      </c>
      <c r="C6" s="7"/>
      <c r="D6" s="10"/>
      <c r="E6" s="291"/>
      <c r="F6" s="291"/>
      <c r="G6" s="291"/>
      <c r="H6" s="291"/>
    </row>
    <row r="7" spans="1:8" ht="15.75" x14ac:dyDescent="0.25">
      <c r="A7" s="292"/>
      <c r="B7" s="292"/>
      <c r="C7" s="292"/>
      <c r="D7" s="292"/>
      <c r="E7" s="11"/>
      <c r="F7" s="11"/>
      <c r="G7" s="11"/>
      <c r="H7" s="11"/>
    </row>
    <row r="8" spans="1:8" ht="15.75" x14ac:dyDescent="0.25">
      <c r="A8" s="273" t="s">
        <v>12</v>
      </c>
      <c r="B8" s="273"/>
      <c r="C8" s="273"/>
      <c r="D8" s="273"/>
      <c r="E8" s="273"/>
      <c r="F8" s="273"/>
      <c r="G8" s="273"/>
      <c r="H8" s="273"/>
    </row>
    <row r="9" spans="1:8" x14ac:dyDescent="0.25">
      <c r="A9" s="12" t="s">
        <v>4</v>
      </c>
      <c r="B9" s="13" t="s">
        <v>13</v>
      </c>
      <c r="C9" s="13"/>
      <c r="D9" s="296">
        <v>44301</v>
      </c>
      <c r="E9" s="285"/>
      <c r="F9" s="285"/>
      <c r="G9" s="285"/>
      <c r="H9" s="285"/>
    </row>
    <row r="10" spans="1:8" x14ac:dyDescent="0.25">
      <c r="A10" s="12" t="s">
        <v>7</v>
      </c>
      <c r="B10" s="13" t="s">
        <v>15</v>
      </c>
      <c r="C10" s="13"/>
      <c r="D10" s="293" t="s">
        <v>185</v>
      </c>
      <c r="E10" s="293"/>
      <c r="F10" s="293"/>
      <c r="G10" s="293"/>
      <c r="H10" s="293"/>
    </row>
    <row r="11" spans="1:8" x14ac:dyDescent="0.25">
      <c r="A11" s="12" t="s">
        <v>9</v>
      </c>
      <c r="B11" s="13" t="s">
        <v>16</v>
      </c>
      <c r="C11" s="13"/>
      <c r="D11" s="293" t="s">
        <v>264</v>
      </c>
      <c r="E11" s="293"/>
      <c r="F11" s="293"/>
      <c r="G11" s="293"/>
      <c r="H11" s="293"/>
    </row>
    <row r="12" spans="1:8" x14ac:dyDescent="0.25">
      <c r="A12" s="12" t="s">
        <v>17</v>
      </c>
      <c r="B12" s="13" t="s">
        <v>18</v>
      </c>
      <c r="C12" s="13"/>
      <c r="D12" s="293">
        <v>12</v>
      </c>
      <c r="E12" s="293"/>
      <c r="F12" s="293"/>
      <c r="G12" s="293"/>
      <c r="H12" s="293"/>
    </row>
    <row r="13" spans="1:8" x14ac:dyDescent="0.25">
      <c r="A13" s="12"/>
      <c r="B13" s="13"/>
      <c r="C13" s="13"/>
      <c r="D13" s="14"/>
      <c r="E13" s="14"/>
      <c r="F13" s="14"/>
      <c r="G13" s="14"/>
      <c r="H13" s="15"/>
    </row>
    <row r="14" spans="1:8" ht="15.75" x14ac:dyDescent="0.25">
      <c r="A14" s="273" t="s">
        <v>19</v>
      </c>
      <c r="B14" s="273"/>
      <c r="C14" s="273"/>
      <c r="D14" s="273"/>
      <c r="E14" s="273"/>
      <c r="F14" s="273"/>
      <c r="G14" s="273"/>
      <c r="H14" s="273"/>
    </row>
    <row r="15" spans="1:8" ht="15.75" x14ac:dyDescent="0.25">
      <c r="A15" s="12"/>
      <c r="B15" s="16" t="s">
        <v>20</v>
      </c>
      <c r="C15" s="16"/>
      <c r="D15" s="17" t="s">
        <v>21</v>
      </c>
      <c r="E15" s="294" t="s">
        <v>22</v>
      </c>
      <c r="F15" s="294"/>
      <c r="G15" s="294"/>
      <c r="H15" s="294"/>
    </row>
    <row r="16" spans="1:8" x14ac:dyDescent="0.25">
      <c r="A16" s="12" t="s">
        <v>4</v>
      </c>
      <c r="B16" s="18" t="s">
        <v>180</v>
      </c>
      <c r="C16" s="19"/>
      <c r="D16" s="20" t="s">
        <v>23</v>
      </c>
      <c r="E16" s="295">
        <v>1</v>
      </c>
      <c r="F16" s="295"/>
      <c r="G16" s="295"/>
      <c r="H16" s="295"/>
    </row>
    <row r="17" spans="1:8" x14ac:dyDescent="0.25">
      <c r="A17" s="12" t="s">
        <v>7</v>
      </c>
      <c r="B17" s="13"/>
      <c r="C17" s="13"/>
      <c r="D17" s="21"/>
      <c r="E17" s="283"/>
      <c r="F17" s="283"/>
      <c r="G17" s="283"/>
      <c r="H17" s="283"/>
    </row>
    <row r="18" spans="1:8" x14ac:dyDescent="0.25">
      <c r="A18" s="12" t="s">
        <v>9</v>
      </c>
      <c r="B18" s="13"/>
      <c r="C18" s="13"/>
      <c r="D18" s="21"/>
      <c r="E18" s="283"/>
      <c r="F18" s="283"/>
      <c r="G18" s="283"/>
      <c r="H18" s="283"/>
    </row>
    <row r="19" spans="1:8" ht="15.75" x14ac:dyDescent="0.25">
      <c r="A19" s="110"/>
      <c r="B19" s="273" t="s">
        <v>24</v>
      </c>
      <c r="C19" s="273"/>
      <c r="D19" s="273"/>
      <c r="E19" s="273"/>
      <c r="F19" s="273"/>
      <c r="G19" s="273"/>
      <c r="H19" s="273"/>
    </row>
    <row r="20" spans="1:8" ht="15.75" x14ac:dyDescent="0.25">
      <c r="A20" s="284" t="s">
        <v>25</v>
      </c>
      <c r="B20" s="284"/>
      <c r="C20" s="284"/>
      <c r="D20" s="284"/>
      <c r="E20" s="284"/>
      <c r="F20" s="284"/>
      <c r="G20" s="284"/>
      <c r="H20" s="284"/>
    </row>
    <row r="21" spans="1:8" x14ac:dyDescent="0.25">
      <c r="A21" s="12">
        <v>1</v>
      </c>
      <c r="B21" s="13" t="s">
        <v>20</v>
      </c>
      <c r="C21" s="13"/>
      <c r="D21" s="285" t="s">
        <v>181</v>
      </c>
      <c r="E21" s="285"/>
      <c r="F21" s="285"/>
      <c r="G21" s="285"/>
      <c r="H21" s="285"/>
    </row>
    <row r="22" spans="1:8" x14ac:dyDescent="0.25">
      <c r="A22" s="12">
        <v>2</v>
      </c>
      <c r="B22" s="13" t="s">
        <v>26</v>
      </c>
      <c r="C22" s="13"/>
      <c r="D22" s="286" t="s">
        <v>242</v>
      </c>
      <c r="E22" s="286"/>
      <c r="F22" s="286"/>
      <c r="G22" s="286"/>
      <c r="H22" s="286"/>
    </row>
    <row r="23" spans="1:8" x14ac:dyDescent="0.25">
      <c r="A23" s="12">
        <v>3</v>
      </c>
      <c r="B23" s="13" t="s">
        <v>27</v>
      </c>
      <c r="C23" s="13"/>
      <c r="D23" s="22">
        <v>1310.0899999999999</v>
      </c>
      <c r="E23" s="23"/>
      <c r="F23" s="23"/>
      <c r="G23" s="23"/>
      <c r="H23" s="23"/>
    </row>
    <row r="24" spans="1:8" ht="30" x14ac:dyDescent="0.25">
      <c r="A24" s="1">
        <v>4</v>
      </c>
      <c r="B24" s="24" t="s">
        <v>28</v>
      </c>
      <c r="C24" s="24"/>
      <c r="D24" s="287" t="s">
        <v>266</v>
      </c>
      <c r="E24" s="287"/>
      <c r="F24" s="287"/>
      <c r="G24" s="287"/>
      <c r="H24" s="287"/>
    </row>
    <row r="25" spans="1:8" x14ac:dyDescent="0.25">
      <c r="A25" s="1">
        <v>5</v>
      </c>
      <c r="B25" s="25" t="s">
        <v>29</v>
      </c>
      <c r="C25" s="25"/>
      <c r="D25" s="288" t="s">
        <v>265</v>
      </c>
      <c r="E25" s="288"/>
      <c r="F25" s="288"/>
      <c r="G25" s="288"/>
      <c r="H25" s="288"/>
    </row>
    <row r="26" spans="1:8" ht="15.75" x14ac:dyDescent="0.25">
      <c r="A26" s="189">
        <v>1</v>
      </c>
      <c r="B26" s="297" t="s">
        <v>30</v>
      </c>
      <c r="C26" s="297"/>
      <c r="D26" s="297"/>
      <c r="E26" s="297"/>
      <c r="F26" s="297"/>
      <c r="G26" s="297"/>
      <c r="H26" s="297"/>
    </row>
    <row r="27" spans="1:8" ht="15.75" x14ac:dyDescent="0.25">
      <c r="A27" s="175" t="s">
        <v>4</v>
      </c>
      <c r="B27" s="177" t="s">
        <v>31</v>
      </c>
      <c r="C27" s="177"/>
      <c r="D27" s="177"/>
      <c r="E27" s="206"/>
      <c r="F27" s="206"/>
      <c r="G27" s="178"/>
      <c r="H27" s="244">
        <f>D23</f>
        <v>1310.0899999999999</v>
      </c>
    </row>
    <row r="28" spans="1:8" ht="15.75" x14ac:dyDescent="0.25">
      <c r="A28" s="175" t="s">
        <v>7</v>
      </c>
      <c r="B28" s="177" t="s">
        <v>32</v>
      </c>
      <c r="C28" s="177"/>
      <c r="D28" s="245"/>
      <c r="E28" s="246">
        <v>0</v>
      </c>
      <c r="F28" s="206"/>
      <c r="G28" s="206"/>
      <c r="H28" s="247"/>
    </row>
    <row r="29" spans="1:8" ht="15.75" x14ac:dyDescent="0.25">
      <c r="A29" s="175" t="s">
        <v>9</v>
      </c>
      <c r="B29" s="177" t="s">
        <v>34</v>
      </c>
      <c r="C29" s="177"/>
      <c r="D29" s="248" t="s">
        <v>35</v>
      </c>
      <c r="E29" s="249" t="s">
        <v>36</v>
      </c>
      <c r="F29" s="248" t="s">
        <v>37</v>
      </c>
      <c r="G29" s="199"/>
      <c r="H29" s="247"/>
    </row>
    <row r="30" spans="1:8" ht="15.75" x14ac:dyDescent="0.25">
      <c r="A30" s="175" t="s">
        <v>17</v>
      </c>
      <c r="B30" s="177" t="s">
        <v>167</v>
      </c>
      <c r="C30" s="177"/>
      <c r="D30" s="248"/>
      <c r="E30" s="249"/>
      <c r="F30" s="248"/>
      <c r="G30" s="199"/>
      <c r="H30" s="247"/>
    </row>
    <row r="31" spans="1:8" ht="15.75" x14ac:dyDescent="0.25">
      <c r="A31" s="175" t="s">
        <v>40</v>
      </c>
      <c r="B31" s="177" t="s">
        <v>38</v>
      </c>
      <c r="C31" s="177"/>
      <c r="D31" s="245" t="s">
        <v>39</v>
      </c>
      <c r="E31" s="250">
        <v>0</v>
      </c>
      <c r="F31" s="251">
        <v>954</v>
      </c>
      <c r="G31" s="177"/>
      <c r="H31" s="252"/>
    </row>
    <row r="32" spans="1:8" ht="15.75" x14ac:dyDescent="0.25">
      <c r="A32" s="175" t="s">
        <v>42</v>
      </c>
      <c r="B32" s="177" t="s">
        <v>41</v>
      </c>
      <c r="C32" s="177"/>
      <c r="D32" s="206"/>
      <c r="E32" s="206"/>
      <c r="F32" s="206"/>
      <c r="G32" s="199"/>
      <c r="H32" s="252"/>
    </row>
    <row r="33" spans="1:9" ht="15.75" x14ac:dyDescent="0.25">
      <c r="A33" s="175" t="s">
        <v>61</v>
      </c>
      <c r="B33" s="177" t="s">
        <v>159</v>
      </c>
      <c r="C33" s="177"/>
      <c r="D33" s="206"/>
      <c r="E33" s="206"/>
      <c r="F33" s="206"/>
      <c r="G33" s="199"/>
      <c r="H33" s="252"/>
    </row>
    <row r="34" spans="1:9" ht="15.75" x14ac:dyDescent="0.25">
      <c r="A34" s="175" t="s">
        <v>43</v>
      </c>
      <c r="B34" s="177" t="s">
        <v>155</v>
      </c>
      <c r="C34" s="177"/>
      <c r="D34" s="206"/>
      <c r="E34" s="206"/>
      <c r="F34" s="206"/>
      <c r="G34" s="199"/>
      <c r="H34" s="252"/>
    </row>
    <row r="35" spans="1:9" ht="15.75" x14ac:dyDescent="0.25">
      <c r="A35" s="175" t="s">
        <v>161</v>
      </c>
      <c r="B35" s="176" t="s">
        <v>160</v>
      </c>
      <c r="C35" s="176"/>
      <c r="D35" s="206"/>
      <c r="E35" s="206"/>
      <c r="F35" s="206"/>
      <c r="G35" s="199"/>
      <c r="H35" s="252"/>
    </row>
    <row r="36" spans="1:9" ht="15.75" x14ac:dyDescent="0.25">
      <c r="A36" s="175" t="s">
        <v>165</v>
      </c>
      <c r="B36" s="176" t="s">
        <v>162</v>
      </c>
      <c r="C36" s="176"/>
      <c r="D36" s="206"/>
      <c r="E36" s="206"/>
      <c r="F36" s="206"/>
      <c r="G36" s="199"/>
      <c r="H36" s="252"/>
    </row>
    <row r="37" spans="1:9" ht="15.75" x14ac:dyDescent="0.25">
      <c r="A37" s="175" t="s">
        <v>166</v>
      </c>
      <c r="B37" s="177" t="s">
        <v>44</v>
      </c>
      <c r="C37" s="177"/>
      <c r="D37" s="177"/>
      <c r="E37" s="177"/>
      <c r="F37" s="199"/>
      <c r="G37" s="199"/>
      <c r="H37" s="199">
        <v>0</v>
      </c>
    </row>
    <row r="38" spans="1:9" ht="15.75" x14ac:dyDescent="0.25">
      <c r="A38" s="253"/>
      <c r="B38" s="185" t="s">
        <v>45</v>
      </c>
      <c r="C38" s="185"/>
      <c r="D38" s="186"/>
      <c r="E38" s="186"/>
      <c r="F38" s="187"/>
      <c r="G38" s="187"/>
      <c r="H38" s="188">
        <f>SUM(H27:H37)</f>
        <v>1310.0899999999999</v>
      </c>
    </row>
    <row r="39" spans="1:9" ht="15.75" x14ac:dyDescent="0.25">
      <c r="A39" s="173">
        <v>2</v>
      </c>
      <c r="B39" s="302" t="s">
        <v>46</v>
      </c>
      <c r="C39" s="302"/>
      <c r="D39" s="302"/>
      <c r="E39" s="302"/>
      <c r="F39" s="302"/>
      <c r="G39" s="302"/>
      <c r="H39" s="302"/>
    </row>
    <row r="40" spans="1:9" ht="15.75" x14ac:dyDescent="0.25">
      <c r="A40" s="174" t="s">
        <v>47</v>
      </c>
      <c r="B40" s="303" t="s">
        <v>48</v>
      </c>
      <c r="C40" s="303"/>
      <c r="D40" s="303"/>
      <c r="E40" s="303"/>
      <c r="F40" s="303"/>
      <c r="G40" s="303"/>
      <c r="H40" s="303"/>
    </row>
    <row r="41" spans="1:9" ht="15.75" x14ac:dyDescent="0.25">
      <c r="A41" s="175" t="s">
        <v>4</v>
      </c>
      <c r="B41" s="176" t="s">
        <v>49</v>
      </c>
      <c r="C41" s="176"/>
      <c r="D41" s="176"/>
      <c r="E41" s="177"/>
      <c r="F41" s="178"/>
      <c r="G41" s="179">
        <v>8.3299999999999999E-2</v>
      </c>
      <c r="H41" s="178">
        <f>SUM($H$38*G41)</f>
        <v>109.13049699999999</v>
      </c>
    </row>
    <row r="42" spans="1:9" ht="15.75" x14ac:dyDescent="0.25">
      <c r="A42" s="175" t="s">
        <v>7</v>
      </c>
      <c r="B42" s="177" t="s">
        <v>50</v>
      </c>
      <c r="C42" s="177"/>
      <c r="D42" s="177"/>
      <c r="E42" s="177"/>
      <c r="F42" s="180"/>
      <c r="G42" s="181">
        <v>0.121</v>
      </c>
      <c r="H42" s="178">
        <f>SUM($H$38*G42)</f>
        <v>158.52088999999998</v>
      </c>
    </row>
    <row r="43" spans="1:9" ht="15.75" x14ac:dyDescent="0.25">
      <c r="A43" s="1" t="s">
        <v>9</v>
      </c>
      <c r="B43" s="48" t="s">
        <v>51</v>
      </c>
      <c r="C43" s="182"/>
      <c r="D43" s="177"/>
      <c r="E43" s="177"/>
      <c r="F43" s="180"/>
      <c r="G43" s="181">
        <f>SUM(G41:G42)*G54</f>
        <v>7.518240000000001E-2</v>
      </c>
      <c r="H43" s="178">
        <f>SUM($H$38*G43)</f>
        <v>98.495710416000009</v>
      </c>
    </row>
    <row r="44" spans="1:9" ht="15.75" x14ac:dyDescent="0.25">
      <c r="A44" s="183"/>
      <c r="B44" s="184" t="s">
        <v>45</v>
      </c>
      <c r="C44" s="185"/>
      <c r="D44" s="186"/>
      <c r="E44" s="186"/>
      <c r="F44" s="187"/>
      <c r="G44" s="187"/>
      <c r="H44" s="188">
        <f>SUM(H41:H43)</f>
        <v>366.14709741600001</v>
      </c>
    </row>
    <row r="45" spans="1:9" ht="15.75" x14ac:dyDescent="0.25">
      <c r="A45" s="189" t="s">
        <v>52</v>
      </c>
      <c r="B45" s="297" t="s">
        <v>53</v>
      </c>
      <c r="C45" s="297"/>
      <c r="D45" s="297"/>
      <c r="E45" s="297"/>
      <c r="F45" s="297"/>
      <c r="G45" s="297"/>
      <c r="H45" s="297"/>
    </row>
    <row r="46" spans="1:9" ht="15.75" x14ac:dyDescent="0.25">
      <c r="A46" s="175" t="s">
        <v>4</v>
      </c>
      <c r="B46" s="182" t="s">
        <v>54</v>
      </c>
      <c r="C46" s="182"/>
      <c r="D46" s="177"/>
      <c r="E46" s="177"/>
      <c r="F46" s="178"/>
      <c r="G46" s="179">
        <v>0.2</v>
      </c>
      <c r="H46" s="178">
        <f>SUM($H$38*G46)</f>
        <v>262.01799999999997</v>
      </c>
    </row>
    <row r="47" spans="1:9" ht="15.75" x14ac:dyDescent="0.25">
      <c r="A47" s="175" t="s">
        <v>7</v>
      </c>
      <c r="B47" s="182" t="s">
        <v>55</v>
      </c>
      <c r="C47" s="182"/>
      <c r="D47" s="301" t="s">
        <v>56</v>
      </c>
      <c r="E47" s="301"/>
      <c r="F47" s="178"/>
      <c r="G47" s="163">
        <v>1.4999999999999999E-2</v>
      </c>
      <c r="H47" s="178">
        <f>SUM($H$38*G47)</f>
        <v>19.651349999999997</v>
      </c>
      <c r="I47" s="115"/>
    </row>
    <row r="48" spans="1:9" ht="15.75" x14ac:dyDescent="0.25">
      <c r="A48" s="175" t="s">
        <v>9</v>
      </c>
      <c r="B48" s="182" t="s">
        <v>57</v>
      </c>
      <c r="C48" s="182"/>
      <c r="D48" s="301"/>
      <c r="E48" s="301"/>
      <c r="F48" s="178"/>
      <c r="G48" s="163">
        <v>0.01</v>
      </c>
      <c r="H48" s="178">
        <f t="shared" ref="H48" si="0">SUM($H$38*G48)</f>
        <v>13.100899999999999</v>
      </c>
    </row>
    <row r="49" spans="1:13" ht="15.75" x14ac:dyDescent="0.25">
      <c r="A49" s="175" t="s">
        <v>17</v>
      </c>
      <c r="B49" s="182" t="s">
        <v>58</v>
      </c>
      <c r="C49" s="182"/>
      <c r="D49" s="177"/>
      <c r="E49" s="177"/>
      <c r="F49" s="178"/>
      <c r="G49" s="163">
        <v>2E-3</v>
      </c>
      <c r="H49" s="178">
        <f>SUM($H$38*G49)</f>
        <v>2.62018</v>
      </c>
    </row>
    <row r="50" spans="1:13" ht="15.75" x14ac:dyDescent="0.25">
      <c r="A50" s="175" t="s">
        <v>40</v>
      </c>
      <c r="B50" s="182" t="s">
        <v>59</v>
      </c>
      <c r="C50" s="182"/>
      <c r="D50" s="177"/>
      <c r="E50" s="177"/>
      <c r="F50" s="178"/>
      <c r="G50" s="163">
        <v>2.5000000000000001E-2</v>
      </c>
      <c r="H50" s="178">
        <f>SUM($H$38*G50)</f>
        <v>32.752249999999997</v>
      </c>
    </row>
    <row r="51" spans="1:13" ht="15.75" x14ac:dyDescent="0.25">
      <c r="A51" s="175" t="s">
        <v>42</v>
      </c>
      <c r="B51" s="182" t="s">
        <v>60</v>
      </c>
      <c r="C51" s="182"/>
      <c r="D51" s="177"/>
      <c r="E51" s="177"/>
      <c r="F51" s="178"/>
      <c r="G51" s="179">
        <v>0.08</v>
      </c>
      <c r="H51" s="178">
        <f>SUM($H$38*G51)</f>
        <v>104.80719999999999</v>
      </c>
    </row>
    <row r="52" spans="1:13" ht="15.75" x14ac:dyDescent="0.25">
      <c r="A52" s="190" t="s">
        <v>61</v>
      </c>
      <c r="B52" s="191" t="s">
        <v>62</v>
      </c>
      <c r="C52" s="191"/>
      <c r="D52" s="192"/>
      <c r="E52" s="192"/>
      <c r="F52" s="192"/>
      <c r="G52" s="164">
        <v>0.03</v>
      </c>
      <c r="H52" s="193">
        <f>SUM($H$38*G52)</f>
        <v>39.302699999999994</v>
      </c>
    </row>
    <row r="53" spans="1:13" ht="15.75" x14ac:dyDescent="0.25">
      <c r="A53" s="175" t="s">
        <v>43</v>
      </c>
      <c r="B53" s="182" t="s">
        <v>63</v>
      </c>
      <c r="C53" s="182"/>
      <c r="D53" s="177"/>
      <c r="E53" s="177"/>
      <c r="F53" s="178"/>
      <c r="G53" s="163">
        <v>6.0000000000000001E-3</v>
      </c>
      <c r="H53" s="178">
        <f>SUM($H$38*G53)</f>
        <v>7.8605399999999994</v>
      </c>
      <c r="I53" s="121"/>
    </row>
    <row r="54" spans="1:13" ht="15.75" x14ac:dyDescent="0.25">
      <c r="A54" s="184"/>
      <c r="B54" s="185" t="s">
        <v>45</v>
      </c>
      <c r="C54" s="185"/>
      <c r="D54" s="185"/>
      <c r="E54" s="185"/>
      <c r="F54" s="194"/>
      <c r="G54" s="195">
        <f>SUM(G46:G53)</f>
        <v>0.3680000000000001</v>
      </c>
      <c r="H54" s="196">
        <f>SUM(H46:H53)</f>
        <v>482.11312000000004</v>
      </c>
    </row>
    <row r="55" spans="1:13" ht="15.75" x14ac:dyDescent="0.25">
      <c r="A55" s="189" t="s">
        <v>64</v>
      </c>
      <c r="B55" s="297" t="s">
        <v>65</v>
      </c>
      <c r="C55" s="297"/>
      <c r="D55" s="297"/>
      <c r="E55" s="297"/>
      <c r="F55" s="297"/>
      <c r="G55" s="297"/>
      <c r="H55" s="297"/>
    </row>
    <row r="56" spans="1:13" ht="15.75" x14ac:dyDescent="0.25">
      <c r="A56" s="177" t="s">
        <v>66</v>
      </c>
      <c r="B56" s="197"/>
      <c r="C56" s="197"/>
      <c r="D56" s="198" t="s">
        <v>67</v>
      </c>
      <c r="E56" s="198" t="s">
        <v>68</v>
      </c>
      <c r="F56" s="198" t="s">
        <v>69</v>
      </c>
      <c r="G56" s="198" t="s">
        <v>70</v>
      </c>
      <c r="H56" s="177"/>
    </row>
    <row r="57" spans="1:13" ht="15.75" x14ac:dyDescent="0.25">
      <c r="A57" s="304" t="s">
        <v>4</v>
      </c>
      <c r="B57" s="177" t="s">
        <v>71</v>
      </c>
      <c r="C57" s="177"/>
      <c r="D57" s="298"/>
      <c r="E57" s="299"/>
      <c r="F57" s="300"/>
      <c r="G57" s="305"/>
      <c r="H57" s="199">
        <f>F57*E57*D57</f>
        <v>0</v>
      </c>
      <c r="I57" t="s">
        <v>256</v>
      </c>
    </row>
    <row r="58" spans="1:13" ht="15.75" x14ac:dyDescent="0.25">
      <c r="A58" s="304"/>
      <c r="B58" s="177" t="s">
        <v>72</v>
      </c>
      <c r="C58" s="177"/>
      <c r="D58" s="298"/>
      <c r="E58" s="298"/>
      <c r="F58" s="298"/>
      <c r="G58" s="298"/>
      <c r="H58" s="199">
        <f>H27*G57</f>
        <v>0</v>
      </c>
    </row>
    <row r="59" spans="1:13" ht="15.75" x14ac:dyDescent="0.25">
      <c r="A59" s="304"/>
      <c r="B59" s="176" t="s">
        <v>73</v>
      </c>
      <c r="C59" s="176"/>
      <c r="D59" s="176"/>
      <c r="E59" s="177"/>
      <c r="F59" s="177"/>
      <c r="G59" s="200"/>
      <c r="H59" s="199">
        <f>H57-H58</f>
        <v>0</v>
      </c>
    </row>
    <row r="60" spans="1:13" ht="15.75" x14ac:dyDescent="0.25">
      <c r="A60" s="304" t="s">
        <v>7</v>
      </c>
      <c r="B60" s="177" t="s">
        <v>74</v>
      </c>
      <c r="C60" s="177"/>
      <c r="D60" s="298">
        <v>1</v>
      </c>
      <c r="E60" s="299">
        <v>1</v>
      </c>
      <c r="F60" s="300">
        <v>0</v>
      </c>
      <c r="G60" s="305">
        <v>0.2</v>
      </c>
      <c r="H60" s="199">
        <f>F60*E60*D60</f>
        <v>0</v>
      </c>
    </row>
    <row r="61" spans="1:13" ht="15.75" x14ac:dyDescent="0.25">
      <c r="A61" s="304"/>
      <c r="B61" s="177" t="s">
        <v>72</v>
      </c>
      <c r="C61" s="177"/>
      <c r="D61" s="298"/>
      <c r="E61" s="298"/>
      <c r="F61" s="298"/>
      <c r="G61" s="298"/>
      <c r="H61" s="199">
        <f>H60*G60</f>
        <v>0</v>
      </c>
    </row>
    <row r="62" spans="1:13" ht="15.75" x14ac:dyDescent="0.25">
      <c r="A62" s="304"/>
      <c r="B62" s="306" t="s">
        <v>75</v>
      </c>
      <c r="C62" s="306"/>
      <c r="D62" s="306"/>
      <c r="E62" s="306"/>
      <c r="F62" s="201"/>
      <c r="G62" s="201"/>
      <c r="H62" s="199">
        <f>H60-H61</f>
        <v>0</v>
      </c>
    </row>
    <row r="63" spans="1:13" ht="15.75" x14ac:dyDescent="0.25">
      <c r="A63" s="202" t="s">
        <v>9</v>
      </c>
      <c r="B63" s="306" t="s">
        <v>267</v>
      </c>
      <c r="C63" s="306"/>
      <c r="D63" s="306"/>
      <c r="E63" s="306"/>
      <c r="F63" s="201"/>
      <c r="G63" s="201"/>
      <c r="H63" s="199">
        <v>100</v>
      </c>
    </row>
    <row r="64" spans="1:13" ht="15.75" x14ac:dyDescent="0.25">
      <c r="A64" s="202" t="s">
        <v>17</v>
      </c>
      <c r="B64" s="203" t="s">
        <v>251</v>
      </c>
      <c r="C64" s="203"/>
      <c r="D64" s="203"/>
      <c r="E64" s="203" t="s">
        <v>163</v>
      </c>
      <c r="F64" s="201"/>
      <c r="G64" s="201"/>
      <c r="H64" s="199">
        <v>11</v>
      </c>
      <c r="J64" s="125"/>
      <c r="K64" s="13"/>
      <c r="L64" s="13"/>
      <c r="M64" s="35"/>
    </row>
    <row r="65" spans="1:13" ht="15.75" x14ac:dyDescent="0.25">
      <c r="A65" s="202" t="s">
        <v>40</v>
      </c>
      <c r="B65" s="204" t="s">
        <v>223</v>
      </c>
      <c r="C65" s="203"/>
      <c r="D65" s="203"/>
      <c r="E65" s="203"/>
      <c r="F65" s="201"/>
      <c r="G65" s="201"/>
      <c r="H65" s="199">
        <v>4.0599999999999996</v>
      </c>
      <c r="J65" s="149"/>
      <c r="K65" s="13"/>
      <c r="L65" s="13"/>
      <c r="M65" s="35"/>
    </row>
    <row r="66" spans="1:13" ht="15.75" x14ac:dyDescent="0.25">
      <c r="A66" s="202" t="s">
        <v>42</v>
      </c>
      <c r="B66" s="204" t="s">
        <v>268</v>
      </c>
      <c r="C66" s="204"/>
      <c r="D66" s="204"/>
      <c r="E66" s="205">
        <v>0</v>
      </c>
      <c r="F66" s="206"/>
      <c r="G66" s="206"/>
      <c r="H66" s="199">
        <v>0</v>
      </c>
    </row>
    <row r="67" spans="1:13" ht="15.75" x14ac:dyDescent="0.25">
      <c r="A67" s="207"/>
      <c r="B67" s="307" t="s">
        <v>45</v>
      </c>
      <c r="C67" s="307"/>
      <c r="D67" s="307"/>
      <c r="E67" s="307"/>
      <c r="F67" s="208"/>
      <c r="G67" s="208"/>
      <c r="H67" s="209">
        <f>H59+H62+H63+H64+H66+H65</f>
        <v>115.06</v>
      </c>
    </row>
    <row r="68" spans="1:13" ht="15.75" x14ac:dyDescent="0.25">
      <c r="A68" s="297" t="s">
        <v>79</v>
      </c>
      <c r="B68" s="297"/>
      <c r="C68" s="297"/>
      <c r="D68" s="297"/>
      <c r="E68" s="297"/>
      <c r="F68" s="297"/>
      <c r="G68" s="297"/>
      <c r="H68" s="297"/>
    </row>
    <row r="69" spans="1:13" ht="15.75" x14ac:dyDescent="0.25">
      <c r="A69" s="202" t="s">
        <v>47</v>
      </c>
      <c r="B69" s="176" t="s">
        <v>80</v>
      </c>
      <c r="C69" s="176"/>
      <c r="D69" s="210"/>
      <c r="E69" s="210"/>
      <c r="F69" s="201"/>
      <c r="G69" s="201"/>
      <c r="H69" s="211">
        <f>H44</f>
        <v>366.14709741600001</v>
      </c>
    </row>
    <row r="70" spans="1:13" ht="15.75" x14ac:dyDescent="0.25">
      <c r="A70" s="202" t="s">
        <v>52</v>
      </c>
      <c r="B70" s="176" t="s">
        <v>81</v>
      </c>
      <c r="C70" s="176"/>
      <c r="D70" s="210"/>
      <c r="E70" s="210"/>
      <c r="F70" s="201"/>
      <c r="G70" s="201"/>
      <c r="H70" s="211">
        <f>H54</f>
        <v>482.11312000000004</v>
      </c>
    </row>
    <row r="71" spans="1:13" ht="15.75" x14ac:dyDescent="0.25">
      <c r="A71" s="202" t="s">
        <v>64</v>
      </c>
      <c r="B71" s="176" t="s">
        <v>82</v>
      </c>
      <c r="C71" s="176"/>
      <c r="D71" s="210"/>
      <c r="E71" s="210"/>
      <c r="F71" s="201"/>
      <c r="G71" s="201"/>
      <c r="H71" s="211">
        <f>H67</f>
        <v>115.06</v>
      </c>
    </row>
    <row r="72" spans="1:13" ht="15.75" x14ac:dyDescent="0.25">
      <c r="A72" s="207"/>
      <c r="B72" s="212" t="s">
        <v>45</v>
      </c>
      <c r="C72" s="212"/>
      <c r="D72" s="212"/>
      <c r="E72" s="212"/>
      <c r="F72" s="208"/>
      <c r="G72" s="208"/>
      <c r="H72" s="209">
        <f>SUM(H69:H71)</f>
        <v>963.32021741600011</v>
      </c>
    </row>
    <row r="73" spans="1:13" ht="15.75" x14ac:dyDescent="0.25">
      <c r="A73" s="213">
        <v>3</v>
      </c>
      <c r="B73" s="297" t="s">
        <v>83</v>
      </c>
      <c r="C73" s="297"/>
      <c r="D73" s="297"/>
      <c r="E73" s="297"/>
      <c r="F73" s="297"/>
      <c r="G73" s="297"/>
      <c r="H73" s="297"/>
    </row>
    <row r="74" spans="1:13" ht="15.75" x14ac:dyDescent="0.25">
      <c r="A74" s="175" t="s">
        <v>4</v>
      </c>
      <c r="B74" s="182" t="s">
        <v>84</v>
      </c>
      <c r="C74" s="182"/>
      <c r="D74" s="214"/>
      <c r="E74" s="214"/>
      <c r="F74" s="214"/>
      <c r="G74" s="179">
        <f>1/12*5%</f>
        <v>4.1666666666666666E-3</v>
      </c>
      <c r="H74" s="178">
        <f>SUM($H$38*G74)</f>
        <v>5.4587083333333331</v>
      </c>
      <c r="I74" s="115"/>
    </row>
    <row r="75" spans="1:13" ht="15.75" x14ac:dyDescent="0.25">
      <c r="A75" s="175" t="s">
        <v>7</v>
      </c>
      <c r="B75" s="182" t="s">
        <v>85</v>
      </c>
      <c r="C75" s="182"/>
      <c r="D75" s="177"/>
      <c r="E75" s="177"/>
      <c r="F75" s="178"/>
      <c r="G75" s="179">
        <f>G74*0.08</f>
        <v>3.3333333333333332E-4</v>
      </c>
      <c r="H75" s="178">
        <f>SUM($H$38*G75)</f>
        <v>0.43669666666666662</v>
      </c>
    </row>
    <row r="76" spans="1:13" ht="15.75" x14ac:dyDescent="0.25">
      <c r="A76" s="175" t="s">
        <v>9</v>
      </c>
      <c r="B76" s="182" t="s">
        <v>86</v>
      </c>
      <c r="C76" s="182"/>
      <c r="D76" s="215"/>
      <c r="E76" s="215"/>
      <c r="F76" s="215"/>
      <c r="G76" s="165">
        <f>(0.08*0.4*0.9)*(1+0.08333+0.121)</f>
        <v>3.4684704000000004E-2</v>
      </c>
      <c r="H76" s="216">
        <f>(ROUND(SUM($H$38*G76),2))</f>
        <v>45.44</v>
      </c>
    </row>
    <row r="77" spans="1:13" ht="15.75" x14ac:dyDescent="0.25">
      <c r="A77" s="175" t="s">
        <v>17</v>
      </c>
      <c r="B77" s="177" t="s">
        <v>87</v>
      </c>
      <c r="C77" s="177"/>
      <c r="D77" s="214"/>
      <c r="E77" s="214"/>
      <c r="F77" s="214"/>
      <c r="G77" s="179">
        <v>1.9400000000000001E-2</v>
      </c>
      <c r="H77" s="178">
        <f>SUM($H$38*G77)</f>
        <v>25.415745999999999</v>
      </c>
      <c r="I77" s="115"/>
    </row>
    <row r="78" spans="1:13" ht="15.75" x14ac:dyDescent="0.25">
      <c r="A78" s="175" t="s">
        <v>40</v>
      </c>
      <c r="B78" s="182" t="s">
        <v>225</v>
      </c>
      <c r="C78" s="182"/>
      <c r="D78" s="177"/>
      <c r="E78" s="177"/>
      <c r="F78" s="178"/>
      <c r="G78" s="179">
        <f>G77*G54</f>
        <v>7.1392000000000027E-3</v>
      </c>
      <c r="H78" s="178">
        <f>SUM($H$38*G78)</f>
        <v>9.3529945280000035</v>
      </c>
    </row>
    <row r="79" spans="1:13" ht="15.75" x14ac:dyDescent="0.25">
      <c r="A79" s="175" t="s">
        <v>42</v>
      </c>
      <c r="B79" s="177" t="s">
        <v>89</v>
      </c>
      <c r="C79" s="177"/>
      <c r="D79" s="215"/>
      <c r="E79" s="215"/>
      <c r="F79" s="215"/>
      <c r="G79" s="163">
        <f>4%-G76</f>
        <v>5.3152959999999971E-3</v>
      </c>
      <c r="H79" s="178">
        <f>SUM($H$38*G79)</f>
        <v>6.9635161366399956</v>
      </c>
    </row>
    <row r="80" spans="1:13" ht="15.75" x14ac:dyDescent="0.25">
      <c r="A80" s="217"/>
      <c r="B80" s="185" t="s">
        <v>45</v>
      </c>
      <c r="C80" s="185"/>
      <c r="D80" s="186"/>
      <c r="E80" s="186"/>
      <c r="F80" s="218"/>
      <c r="G80" s="195">
        <f>SUM(G74:G79)</f>
        <v>7.1039199999999997E-2</v>
      </c>
      <c r="H80" s="196">
        <f>SUM(H74:H79)</f>
        <v>93.067661664639999</v>
      </c>
    </row>
    <row r="81" spans="1:9" ht="15.75" x14ac:dyDescent="0.25">
      <c r="A81" s="173">
        <v>4</v>
      </c>
      <c r="B81" s="308" t="s">
        <v>90</v>
      </c>
      <c r="C81" s="308"/>
      <c r="D81" s="308"/>
      <c r="E81" s="308"/>
      <c r="F81" s="308"/>
      <c r="G81" s="308"/>
      <c r="H81" s="308"/>
    </row>
    <row r="82" spans="1:9" ht="15.75" x14ac:dyDescent="0.25">
      <c r="A82" s="219" t="s">
        <v>91</v>
      </c>
      <c r="B82" s="297" t="s">
        <v>236</v>
      </c>
      <c r="C82" s="297"/>
      <c r="D82" s="297"/>
      <c r="E82" s="297"/>
      <c r="F82" s="297"/>
      <c r="G82" s="297"/>
      <c r="H82" s="297"/>
    </row>
    <row r="83" spans="1:9" ht="15.75" x14ac:dyDescent="0.25">
      <c r="A83" s="175" t="s">
        <v>4</v>
      </c>
      <c r="B83" s="182" t="s">
        <v>226</v>
      </c>
      <c r="C83" s="182"/>
      <c r="D83" s="214"/>
      <c r="E83" s="214"/>
      <c r="F83" s="214"/>
      <c r="G83" s="179">
        <v>0</v>
      </c>
      <c r="H83" s="178"/>
    </row>
    <row r="84" spans="1:9" ht="15.75" x14ac:dyDescent="0.25">
      <c r="A84" s="220" t="s">
        <v>7</v>
      </c>
      <c r="B84" s="182" t="s">
        <v>227</v>
      </c>
      <c r="C84" s="309" t="s">
        <v>95</v>
      </c>
      <c r="D84" s="168">
        <v>5.96</v>
      </c>
      <c r="E84" s="309" t="s">
        <v>96</v>
      </c>
      <c r="F84" s="170">
        <v>1</v>
      </c>
      <c r="G84" s="179">
        <f t="shared" ref="G84:G89" si="1">D84/360*F84</f>
        <v>1.6555555555555556E-2</v>
      </c>
      <c r="H84" s="178">
        <f>SUM(H$38*G84)</f>
        <v>21.689267777777776</v>
      </c>
    </row>
    <row r="85" spans="1:9" ht="15.75" x14ac:dyDescent="0.25">
      <c r="A85" s="175" t="s">
        <v>9</v>
      </c>
      <c r="B85" s="182" t="s">
        <v>228</v>
      </c>
      <c r="C85" s="309"/>
      <c r="D85" s="168">
        <v>5</v>
      </c>
      <c r="E85" s="309"/>
      <c r="F85" s="170">
        <v>1.4999999999999999E-2</v>
      </c>
      <c r="G85" s="179">
        <f t="shared" si="1"/>
        <v>2.0833333333333332E-4</v>
      </c>
      <c r="H85" s="178">
        <f>SUM(H$38*G85)</f>
        <v>0.27293541666666665</v>
      </c>
    </row>
    <row r="86" spans="1:9" ht="15.75" x14ac:dyDescent="0.25">
      <c r="A86" s="175" t="s">
        <v>17</v>
      </c>
      <c r="B86" s="182" t="s">
        <v>229</v>
      </c>
      <c r="C86" s="309"/>
      <c r="D86" s="168">
        <v>15</v>
      </c>
      <c r="E86" s="309"/>
      <c r="F86" s="171">
        <v>7.7999999999999996E-3</v>
      </c>
      <c r="G86" s="179">
        <f t="shared" si="1"/>
        <v>3.2499999999999999E-4</v>
      </c>
      <c r="H86" s="178">
        <f>SUM(H$38*G86)</f>
        <v>0.42577924999999994</v>
      </c>
    </row>
    <row r="87" spans="1:9" ht="15.75" x14ac:dyDescent="0.25">
      <c r="A87" s="175" t="s">
        <v>40</v>
      </c>
      <c r="B87" s="182" t="s">
        <v>230</v>
      </c>
      <c r="C87" s="309"/>
      <c r="D87" s="168">
        <v>120</v>
      </c>
      <c r="E87" s="309"/>
      <c r="F87" s="170">
        <v>1.8599999999999998E-2</v>
      </c>
      <c r="G87" s="179">
        <v>5.9999999999999995E-4</v>
      </c>
      <c r="H87" s="178">
        <f>SUM(H$38*G87)</f>
        <v>0.78605399999999992</v>
      </c>
    </row>
    <row r="88" spans="1:9" ht="15.75" x14ac:dyDescent="0.25">
      <c r="A88" s="175" t="s">
        <v>42</v>
      </c>
      <c r="B88" s="182" t="s">
        <v>101</v>
      </c>
      <c r="C88" s="309"/>
      <c r="D88" s="169"/>
      <c r="E88" s="309"/>
      <c r="F88" s="172"/>
      <c r="G88" s="179">
        <f t="shared" si="1"/>
        <v>0</v>
      </c>
      <c r="H88" s="221">
        <f>SUM(H$38*G88)</f>
        <v>0</v>
      </c>
    </row>
    <row r="89" spans="1:9" ht="15.75" x14ac:dyDescent="0.25">
      <c r="A89" s="175" t="s">
        <v>61</v>
      </c>
      <c r="B89" s="182"/>
      <c r="C89" s="309"/>
      <c r="D89" s="169"/>
      <c r="E89" s="309"/>
      <c r="F89" s="222"/>
      <c r="G89" s="179">
        <f t="shared" si="1"/>
        <v>0</v>
      </c>
      <c r="H89" s="221"/>
    </row>
    <row r="90" spans="1:9" ht="15.75" x14ac:dyDescent="0.25">
      <c r="A90" s="201"/>
      <c r="B90" s="177" t="s">
        <v>102</v>
      </c>
      <c r="C90" s="177"/>
      <c r="D90" s="177"/>
      <c r="E90" s="177"/>
      <c r="F90" s="178"/>
      <c r="G90" s="179">
        <f>SUM(G83:G89)</f>
        <v>1.7688888888888889E-2</v>
      </c>
      <c r="H90" s="178">
        <f>SUM(H83:H89)</f>
        <v>23.174036444444443</v>
      </c>
      <c r="I90" s="115"/>
    </row>
    <row r="91" spans="1:9" ht="15.75" x14ac:dyDescent="0.25">
      <c r="A91" s="175" t="s">
        <v>42</v>
      </c>
      <c r="B91" s="182" t="s">
        <v>103</v>
      </c>
      <c r="C91" s="182"/>
      <c r="D91" s="177"/>
      <c r="E91" s="177"/>
      <c r="F91" s="178"/>
      <c r="G91" s="179">
        <v>0</v>
      </c>
      <c r="H91" s="178">
        <v>0</v>
      </c>
    </row>
    <row r="92" spans="1:9" ht="15.75" x14ac:dyDescent="0.25">
      <c r="A92" s="217"/>
      <c r="B92" s="185" t="s">
        <v>45</v>
      </c>
      <c r="C92" s="185"/>
      <c r="D92" s="186"/>
      <c r="E92" s="186"/>
      <c r="F92" s="218"/>
      <c r="G92" s="195">
        <f>G91+G90</f>
        <v>1.7688888888888889E-2</v>
      </c>
      <c r="H92" s="196">
        <f>SUM(H90:H91)</f>
        <v>23.174036444444443</v>
      </c>
    </row>
    <row r="93" spans="1:9" ht="15.75" x14ac:dyDescent="0.25">
      <c r="A93" s="219" t="s">
        <v>104</v>
      </c>
      <c r="B93" s="297" t="s">
        <v>232</v>
      </c>
      <c r="C93" s="297"/>
      <c r="D93" s="297"/>
      <c r="E93" s="297"/>
      <c r="F93" s="297"/>
      <c r="G93" s="297"/>
      <c r="H93" s="297"/>
    </row>
    <row r="94" spans="1:9" ht="15.75" x14ac:dyDescent="0.25">
      <c r="A94" s="175" t="s">
        <v>4</v>
      </c>
      <c r="B94" s="182" t="s">
        <v>234</v>
      </c>
      <c r="C94" s="182"/>
      <c r="D94" s="214"/>
      <c r="E94" s="214"/>
      <c r="F94" s="214"/>
      <c r="G94" s="163">
        <v>0</v>
      </c>
      <c r="H94" s="178">
        <f>SUM(H$38*G94)</f>
        <v>0</v>
      </c>
    </row>
    <row r="95" spans="1:9" ht="15.75" x14ac:dyDescent="0.25">
      <c r="A95" s="175" t="s">
        <v>7</v>
      </c>
      <c r="B95" s="182" t="s">
        <v>107</v>
      </c>
      <c r="C95" s="182"/>
      <c r="D95" s="214"/>
      <c r="E95" s="214"/>
      <c r="F95" s="214"/>
      <c r="G95" s="179">
        <f>G94*G54</f>
        <v>0</v>
      </c>
      <c r="H95" s="178">
        <f>SUM($H$38*G95)</f>
        <v>0</v>
      </c>
    </row>
    <row r="96" spans="1:9" ht="15.75" x14ac:dyDescent="0.25">
      <c r="A96" s="217"/>
      <c r="B96" s="185" t="s">
        <v>45</v>
      </c>
      <c r="C96" s="185"/>
      <c r="D96" s="186"/>
      <c r="E96" s="186"/>
      <c r="F96" s="218"/>
      <c r="G96" s="195">
        <f>G95+G94</f>
        <v>0</v>
      </c>
      <c r="H96" s="196">
        <f>SUM(H94:H95)</f>
        <v>0</v>
      </c>
    </row>
    <row r="97" spans="1:10" ht="15.75" x14ac:dyDescent="0.25">
      <c r="A97" s="297" t="s">
        <v>108</v>
      </c>
      <c r="B97" s="297"/>
      <c r="C97" s="297"/>
      <c r="D97" s="297"/>
      <c r="E97" s="297"/>
      <c r="F97" s="297"/>
      <c r="G97" s="297"/>
      <c r="H97" s="297"/>
    </row>
    <row r="98" spans="1:10" ht="15.75" x14ac:dyDescent="0.25">
      <c r="A98" s="175" t="s">
        <v>91</v>
      </c>
      <c r="B98" s="182" t="s">
        <v>235</v>
      </c>
      <c r="C98" s="182"/>
      <c r="D98" s="214"/>
      <c r="E98" s="214"/>
      <c r="F98" s="214"/>
      <c r="G98" s="179">
        <f>G92</f>
        <v>1.7688888888888889E-2</v>
      </c>
      <c r="H98" s="178">
        <f>H92</f>
        <v>23.174036444444443</v>
      </c>
    </row>
    <row r="99" spans="1:10" ht="15.75" x14ac:dyDescent="0.25">
      <c r="A99" s="175" t="s">
        <v>104</v>
      </c>
      <c r="B99" s="182" t="s">
        <v>233</v>
      </c>
      <c r="C99" s="182"/>
      <c r="D99" s="214"/>
      <c r="E99" s="214"/>
      <c r="F99" s="214"/>
      <c r="G99" s="179">
        <f>G96</f>
        <v>0</v>
      </c>
      <c r="H99" s="178">
        <f>H96</f>
        <v>0</v>
      </c>
    </row>
    <row r="100" spans="1:10" ht="15.75" x14ac:dyDescent="0.25">
      <c r="A100" s="217"/>
      <c r="B100" s="185" t="s">
        <v>45</v>
      </c>
      <c r="C100" s="185"/>
      <c r="D100" s="186"/>
      <c r="E100" s="186"/>
      <c r="F100" s="218"/>
      <c r="G100" s="195">
        <f>G96+G92</f>
        <v>1.7688888888888889E-2</v>
      </c>
      <c r="H100" s="196">
        <f>SUM(H98:H99)</f>
        <v>23.174036444444443</v>
      </c>
    </row>
    <row r="101" spans="1:10" ht="15.75" x14ac:dyDescent="0.25">
      <c r="A101" s="219">
        <v>5</v>
      </c>
      <c r="B101" s="297" t="s">
        <v>110</v>
      </c>
      <c r="C101" s="297"/>
      <c r="D101" s="297"/>
      <c r="E101" s="297"/>
      <c r="F101" s="297"/>
      <c r="G101" s="297"/>
      <c r="H101" s="297"/>
    </row>
    <row r="102" spans="1:10" ht="15.75" x14ac:dyDescent="0.25">
      <c r="A102" s="175" t="s">
        <v>4</v>
      </c>
      <c r="B102" s="201" t="s">
        <v>111</v>
      </c>
      <c r="C102" s="201"/>
      <c r="D102" s="223"/>
      <c r="E102" s="177"/>
      <c r="F102" s="199"/>
      <c r="G102" s="199"/>
      <c r="H102" s="199">
        <v>28.79</v>
      </c>
    </row>
    <row r="103" spans="1:10" ht="15.75" x14ac:dyDescent="0.25">
      <c r="A103" s="175" t="s">
        <v>7</v>
      </c>
      <c r="B103" s="201" t="s">
        <v>112</v>
      </c>
      <c r="C103" s="201"/>
      <c r="D103" s="223"/>
      <c r="E103" s="177"/>
      <c r="F103" s="199"/>
      <c r="G103" s="199"/>
      <c r="H103" s="199"/>
    </row>
    <row r="104" spans="1:10" ht="15.75" x14ac:dyDescent="0.25">
      <c r="A104" s="175" t="s">
        <v>9</v>
      </c>
      <c r="B104" s="201" t="s">
        <v>113</v>
      </c>
      <c r="C104" s="201"/>
      <c r="D104" s="223"/>
      <c r="E104" s="177"/>
      <c r="F104" s="199"/>
      <c r="G104" s="199"/>
      <c r="H104" s="199">
        <v>123.86</v>
      </c>
    </row>
    <row r="105" spans="1:10" ht="15.75" x14ac:dyDescent="0.25">
      <c r="A105" s="175" t="s">
        <v>17</v>
      </c>
      <c r="B105" s="201" t="s">
        <v>164</v>
      </c>
      <c r="C105" s="201"/>
      <c r="D105" s="223"/>
      <c r="E105" s="177"/>
      <c r="F105" s="199"/>
      <c r="G105" s="199"/>
      <c r="H105" s="199">
        <v>73.77</v>
      </c>
    </row>
    <row r="106" spans="1:10" ht="15.75" x14ac:dyDescent="0.25">
      <c r="A106" s="175" t="s">
        <v>40</v>
      </c>
      <c r="B106" s="201" t="s">
        <v>248</v>
      </c>
      <c r="C106" s="201"/>
      <c r="D106" s="223"/>
      <c r="E106" s="177"/>
      <c r="F106" s="199"/>
      <c r="G106" s="199"/>
      <c r="H106" s="199">
        <v>3.91</v>
      </c>
    </row>
    <row r="107" spans="1:10" ht="15.75" x14ac:dyDescent="0.25">
      <c r="A107" s="217"/>
      <c r="B107" s="185" t="s">
        <v>45</v>
      </c>
      <c r="C107" s="185"/>
      <c r="D107" s="186"/>
      <c r="E107" s="186"/>
      <c r="F107" s="218"/>
      <c r="G107" s="195"/>
      <c r="H107" s="196">
        <f>SUM(H102:H106)</f>
        <v>230.33</v>
      </c>
    </row>
    <row r="108" spans="1:10" ht="15.75" x14ac:dyDescent="0.25">
      <c r="A108" s="219">
        <v>6</v>
      </c>
      <c r="B108" s="297" t="s">
        <v>114</v>
      </c>
      <c r="C108" s="297"/>
      <c r="D108" s="297"/>
      <c r="E108" s="297"/>
      <c r="F108" s="297"/>
      <c r="G108" s="297"/>
      <c r="H108" s="297"/>
    </row>
    <row r="109" spans="1:10" ht="15.75" x14ac:dyDescent="0.25">
      <c r="A109" s="224" t="s">
        <v>4</v>
      </c>
      <c r="B109" s="177"/>
      <c r="C109" s="177"/>
      <c r="D109" s="177"/>
      <c r="E109" s="177"/>
      <c r="F109" s="177" t="s">
        <v>115</v>
      </c>
      <c r="G109" s="163">
        <v>0.03</v>
      </c>
      <c r="H109" s="178">
        <f>G109*H124</f>
        <v>78.599457465752522</v>
      </c>
    </row>
    <row r="110" spans="1:10" ht="15.75" x14ac:dyDescent="0.25">
      <c r="A110" s="224" t="s">
        <v>7</v>
      </c>
      <c r="B110" s="177"/>
      <c r="C110" s="177"/>
      <c r="D110" s="177"/>
      <c r="E110" s="177"/>
      <c r="F110" s="175" t="s">
        <v>116</v>
      </c>
      <c r="G110" s="163">
        <v>6.7900000000000002E-2</v>
      </c>
      <c r="H110" s="178">
        <f>H109+H124*$G$110</f>
        <v>256.49622952990575</v>
      </c>
    </row>
    <row r="111" spans="1:10" ht="15.75" x14ac:dyDescent="0.25">
      <c r="A111" s="224" t="s">
        <v>9</v>
      </c>
      <c r="B111" s="177"/>
      <c r="C111" s="177"/>
      <c r="D111" s="177"/>
      <c r="E111" s="177"/>
      <c r="F111" s="175" t="s">
        <v>117</v>
      </c>
      <c r="G111" s="225">
        <f>SUM(G112:G116)</f>
        <v>8.6499999999999994E-2</v>
      </c>
      <c r="H111" s="178">
        <f>H113+H114+H116</f>
        <v>279.81851408652898</v>
      </c>
    </row>
    <row r="112" spans="1:10" ht="15.75" x14ac:dyDescent="0.25">
      <c r="A112" s="224" t="s">
        <v>118</v>
      </c>
      <c r="B112" s="177"/>
      <c r="C112" s="177"/>
      <c r="D112" s="177"/>
      <c r="E112" s="177"/>
      <c r="F112" s="226" t="s">
        <v>119</v>
      </c>
      <c r="G112" s="179">
        <v>0</v>
      </c>
      <c r="H112" s="178"/>
      <c r="J112" s="120"/>
    </row>
    <row r="113" spans="1:9" ht="15.75" x14ac:dyDescent="0.25">
      <c r="A113" s="224" t="s">
        <v>120</v>
      </c>
      <c r="B113" s="177"/>
      <c r="C113" s="177"/>
      <c r="D113" s="177"/>
      <c r="E113" s="177"/>
      <c r="F113" s="226" t="s">
        <v>121</v>
      </c>
      <c r="G113" s="163">
        <v>6.4999999999999997E-3</v>
      </c>
      <c r="H113" s="178">
        <f>((H109+H110+H124)/0.9135)*G113</f>
        <v>21.026824757947264</v>
      </c>
    </row>
    <row r="114" spans="1:9" ht="15.75" x14ac:dyDescent="0.25">
      <c r="A114" s="224" t="s">
        <v>122</v>
      </c>
      <c r="B114" s="177"/>
      <c r="C114" s="177"/>
      <c r="D114" s="177"/>
      <c r="E114" s="177"/>
      <c r="F114" s="226" t="s">
        <v>123</v>
      </c>
      <c r="G114" s="163">
        <v>0.03</v>
      </c>
      <c r="H114" s="178">
        <f>((H109+H110+H124)/0.9135)*G114</f>
        <v>97.046883498218136</v>
      </c>
    </row>
    <row r="115" spans="1:9" ht="15.75" x14ac:dyDescent="0.25">
      <c r="A115" s="224" t="s">
        <v>124</v>
      </c>
      <c r="B115" s="177"/>
      <c r="C115" s="177"/>
      <c r="D115" s="177"/>
      <c r="E115" s="177"/>
      <c r="F115" s="226" t="s">
        <v>125</v>
      </c>
      <c r="G115" s="179">
        <v>0</v>
      </c>
      <c r="H115" s="178"/>
    </row>
    <row r="116" spans="1:9" ht="15.75" x14ac:dyDescent="0.25">
      <c r="A116" s="224" t="s">
        <v>126</v>
      </c>
      <c r="B116" s="177"/>
      <c r="C116" s="177"/>
      <c r="D116" s="177"/>
      <c r="E116" s="177"/>
      <c r="F116" s="226" t="s">
        <v>127</v>
      </c>
      <c r="G116" s="179">
        <v>0.05</v>
      </c>
      <c r="H116" s="178">
        <f>((H109+H110+H124)/0.9135)*G116</f>
        <v>161.74480583036359</v>
      </c>
    </row>
    <row r="117" spans="1:9" ht="15.75" x14ac:dyDescent="0.25">
      <c r="A117" s="217"/>
      <c r="B117" s="185" t="s">
        <v>45</v>
      </c>
      <c r="C117" s="185"/>
      <c r="D117" s="186"/>
      <c r="E117" s="186"/>
      <c r="F117" s="218"/>
      <c r="G117" s="195">
        <f>G111+G110+G109</f>
        <v>0.18439999999999998</v>
      </c>
      <c r="H117" s="196">
        <f>H109+H110+H111</f>
        <v>614.91420108218722</v>
      </c>
    </row>
    <row r="118" spans="1:9" ht="15.75" x14ac:dyDescent="0.25">
      <c r="A118" s="227"/>
      <c r="B118" s="297" t="s">
        <v>128</v>
      </c>
      <c r="C118" s="297"/>
      <c r="D118" s="297"/>
      <c r="E118" s="297"/>
      <c r="F118" s="297"/>
      <c r="G118" s="297"/>
      <c r="H118" s="297"/>
    </row>
    <row r="119" spans="1:9" ht="15.75" x14ac:dyDescent="0.25">
      <c r="A119" s="228" t="s">
        <v>4</v>
      </c>
      <c r="B119" s="177" t="s">
        <v>30</v>
      </c>
      <c r="C119" s="177"/>
      <c r="D119" s="177"/>
      <c r="E119" s="177"/>
      <c r="F119" s="178"/>
      <c r="G119" s="179">
        <f>SUM(H119/H$126)</f>
        <v>0.40498672995224649</v>
      </c>
      <c r="H119" s="178">
        <f>SUM(H38)</f>
        <v>1310.0899999999999</v>
      </c>
    </row>
    <row r="120" spans="1:9" ht="15.75" x14ac:dyDescent="0.25">
      <c r="A120" s="228" t="s">
        <v>7</v>
      </c>
      <c r="B120" s="177" t="s">
        <v>129</v>
      </c>
      <c r="C120" s="177"/>
      <c r="D120" s="177"/>
      <c r="E120" s="177"/>
      <c r="F120" s="178"/>
      <c r="G120" s="179">
        <f>SUM(H120/H$126)</f>
        <v>0.29779015544595644</v>
      </c>
      <c r="H120" s="178">
        <f>H72</f>
        <v>963.32021741600011</v>
      </c>
    </row>
    <row r="121" spans="1:9" ht="15.75" x14ac:dyDescent="0.25">
      <c r="A121" s="228" t="s">
        <v>9</v>
      </c>
      <c r="B121" s="177" t="s">
        <v>130</v>
      </c>
      <c r="C121" s="177"/>
      <c r="D121" s="177"/>
      <c r="E121" s="177"/>
      <c r="F121" s="178"/>
      <c r="G121" s="179">
        <f>SUM(H121/H$126)</f>
        <v>2.8769907381832244E-2</v>
      </c>
      <c r="H121" s="178">
        <f>H80</f>
        <v>93.067661664639999</v>
      </c>
    </row>
    <row r="122" spans="1:9" ht="15.75" x14ac:dyDescent="0.25">
      <c r="A122" s="228" t="s">
        <v>17</v>
      </c>
      <c r="B122" s="177" t="s">
        <v>131</v>
      </c>
      <c r="C122" s="177"/>
      <c r="D122" s="177"/>
      <c r="E122" s="177"/>
      <c r="F122" s="178"/>
      <c r="G122" s="179">
        <f>SUM(H122/H$126)</f>
        <v>7.1637652675997383E-3</v>
      </c>
      <c r="H122" s="178">
        <f>H100</f>
        <v>23.174036444444443</v>
      </c>
    </row>
    <row r="123" spans="1:9" ht="15.75" x14ac:dyDescent="0.25">
      <c r="A123" s="228" t="s">
        <v>40</v>
      </c>
      <c r="B123" s="177" t="s">
        <v>110</v>
      </c>
      <c r="C123" s="177"/>
      <c r="D123" s="177"/>
      <c r="E123" s="177"/>
      <c r="F123" s="178"/>
      <c r="G123" s="179">
        <f>H123/H126</f>
        <v>7.1201668213558569E-2</v>
      </c>
      <c r="H123" s="178">
        <f>H107</f>
        <v>230.33</v>
      </c>
    </row>
    <row r="124" spans="1:9" ht="15.75" x14ac:dyDescent="0.25">
      <c r="A124" s="228"/>
      <c r="B124" s="177" t="s">
        <v>132</v>
      </c>
      <c r="C124" s="177"/>
      <c r="D124" s="177"/>
      <c r="E124" s="177"/>
      <c r="F124" s="178"/>
      <c r="G124" s="179">
        <f>SUM(G119:G123)</f>
        <v>0.80991222626119352</v>
      </c>
      <c r="H124" s="178">
        <f>SUM(H119:H123)</f>
        <v>2619.9819155250843</v>
      </c>
      <c r="I124" s="115"/>
    </row>
    <row r="125" spans="1:9" ht="15.75" x14ac:dyDescent="0.25">
      <c r="A125" s="228" t="s">
        <v>40</v>
      </c>
      <c r="B125" s="177" t="s">
        <v>133</v>
      </c>
      <c r="C125" s="177"/>
      <c r="D125" s="177"/>
      <c r="E125" s="177"/>
      <c r="F125" s="178"/>
      <c r="G125" s="179">
        <f>SUM(H125/H$126)</f>
        <v>0.19008777373880664</v>
      </c>
      <c r="H125" s="178">
        <f>H117</f>
        <v>614.91420108218722</v>
      </c>
      <c r="I125" s="115"/>
    </row>
    <row r="126" spans="1:9" ht="15.75" x14ac:dyDescent="0.25">
      <c r="A126" s="185"/>
      <c r="B126" s="185" t="s">
        <v>134</v>
      </c>
      <c r="C126" s="185"/>
      <c r="D126" s="185"/>
      <c r="E126" s="185"/>
      <c r="F126" s="185"/>
      <c r="G126" s="185">
        <f>SUM(G124+G125)</f>
        <v>1.0000000000000002</v>
      </c>
      <c r="H126" s="229">
        <f>H125+H124</f>
        <v>3234.8961166072713</v>
      </c>
    </row>
    <row r="127" spans="1:9" ht="15.75" x14ac:dyDescent="0.25">
      <c r="A127" s="230"/>
      <c r="B127" s="297" t="s">
        <v>135</v>
      </c>
      <c r="C127" s="297"/>
      <c r="D127" s="297"/>
      <c r="E127" s="297"/>
      <c r="F127" s="297"/>
      <c r="G127" s="297"/>
      <c r="H127" s="297"/>
    </row>
    <row r="128" spans="1:9" ht="47.25" x14ac:dyDescent="0.25">
      <c r="A128" s="177"/>
      <c r="B128" s="231" t="s">
        <v>20</v>
      </c>
      <c r="C128" s="231"/>
      <c r="D128" s="232" t="s">
        <v>136</v>
      </c>
      <c r="E128" s="232" t="s">
        <v>137</v>
      </c>
      <c r="F128" s="233" t="s">
        <v>138</v>
      </c>
      <c r="G128" s="232" t="s">
        <v>139</v>
      </c>
      <c r="H128" s="234" t="s">
        <v>140</v>
      </c>
    </row>
    <row r="129" spans="1:9" ht="15.75" x14ac:dyDescent="0.25">
      <c r="A129" s="177"/>
      <c r="B129" s="224" t="s">
        <v>141</v>
      </c>
      <c r="C129" s="224"/>
      <c r="D129" s="224" t="s">
        <v>142</v>
      </c>
      <c r="E129" s="232" t="s">
        <v>143</v>
      </c>
      <c r="F129" s="233" t="s">
        <v>144</v>
      </c>
      <c r="G129" s="224" t="s">
        <v>145</v>
      </c>
      <c r="H129" s="235" t="s">
        <v>146</v>
      </c>
    </row>
    <row r="130" spans="1:9" ht="15.75" x14ac:dyDescent="0.25">
      <c r="A130" s="175"/>
      <c r="B130" s="236"/>
      <c r="C130" s="236"/>
      <c r="D130" s="237">
        <f>SUM(H126)</f>
        <v>3234.8961166072713</v>
      </c>
      <c r="E130" s="166">
        <v>4</v>
      </c>
      <c r="F130" s="237">
        <f>D130*E130</f>
        <v>12939.584466429085</v>
      </c>
      <c r="G130" s="167">
        <v>1</v>
      </c>
      <c r="H130" s="178">
        <f>E130*D130</f>
        <v>12939.584466429085</v>
      </c>
    </row>
    <row r="131" spans="1:9" ht="15.75" x14ac:dyDescent="0.25">
      <c r="A131" s="177"/>
      <c r="B131" s="231" t="s">
        <v>147</v>
      </c>
      <c r="C131" s="231"/>
      <c r="D131" s="201"/>
      <c r="E131" s="201"/>
      <c r="F131" s="201"/>
      <c r="G131" s="201"/>
      <c r="H131" s="238">
        <f>SUM(H130)</f>
        <v>12939.584466429085</v>
      </c>
    </row>
    <row r="132" spans="1:9" ht="15.75" x14ac:dyDescent="0.25">
      <c r="A132" s="177"/>
      <c r="B132" s="231"/>
      <c r="C132" s="231"/>
      <c r="D132" s="239"/>
      <c r="E132" s="231"/>
      <c r="F132" s="231"/>
      <c r="G132" s="231"/>
      <c r="H132" s="231"/>
    </row>
    <row r="133" spans="1:9" ht="15.75" x14ac:dyDescent="0.25">
      <c r="A133" s="219"/>
      <c r="B133" s="297" t="s">
        <v>148</v>
      </c>
      <c r="C133" s="297"/>
      <c r="D133" s="297"/>
      <c r="E133" s="297"/>
      <c r="F133" s="297"/>
      <c r="G133" s="297"/>
      <c r="H133" s="297"/>
    </row>
    <row r="134" spans="1:9" ht="15.75" x14ac:dyDescent="0.25">
      <c r="A134" s="240"/>
      <c r="B134" s="240" t="s">
        <v>149</v>
      </c>
      <c r="C134" s="240"/>
      <c r="D134" s="240"/>
      <c r="E134" s="231"/>
      <c r="F134" s="231"/>
      <c r="G134" s="231"/>
      <c r="H134" s="241" t="s">
        <v>150</v>
      </c>
    </row>
    <row r="135" spans="1:9" ht="15.75" x14ac:dyDescent="0.25">
      <c r="A135" s="242" t="s">
        <v>4</v>
      </c>
      <c r="B135" s="243" t="s">
        <v>151</v>
      </c>
      <c r="C135" s="243"/>
      <c r="D135" s="243"/>
      <c r="E135" s="201"/>
      <c r="F135" s="201"/>
      <c r="G135" s="201"/>
      <c r="H135" s="241">
        <f>D130</f>
        <v>3234.8961166072713</v>
      </c>
    </row>
    <row r="136" spans="1:9" ht="15.75" x14ac:dyDescent="0.25">
      <c r="A136" s="242" t="s">
        <v>7</v>
      </c>
      <c r="B136" s="243" t="s">
        <v>152</v>
      </c>
      <c r="C136" s="243"/>
      <c r="D136" s="243"/>
      <c r="E136" s="201"/>
      <c r="F136" s="201"/>
      <c r="G136" s="201"/>
      <c r="H136" s="241">
        <f>H131</f>
        <v>12939.584466429085</v>
      </c>
      <c r="I136" s="119"/>
    </row>
    <row r="137" spans="1:9" ht="15.75" x14ac:dyDescent="0.25">
      <c r="A137" s="242" t="s">
        <v>17</v>
      </c>
      <c r="B137" s="176" t="s">
        <v>153</v>
      </c>
      <c r="C137" s="176"/>
      <c r="D137" s="243"/>
      <c r="E137" s="201"/>
      <c r="F137" s="201"/>
      <c r="G137" s="166">
        <v>12</v>
      </c>
      <c r="H137" s="241">
        <f>SUM(H136*G137)</f>
        <v>155275.01359714902</v>
      </c>
      <c r="I137" s="119"/>
    </row>
    <row r="138" spans="1:9" ht="15.75" x14ac:dyDescent="0.25">
      <c r="A138" s="6"/>
      <c r="B138" s="6"/>
      <c r="C138" s="6"/>
      <c r="D138" s="6"/>
      <c r="E138" s="6"/>
      <c r="F138" s="6"/>
      <c r="G138" s="6"/>
      <c r="H138" s="6"/>
      <c r="I138" s="119"/>
    </row>
    <row r="139" spans="1:9" x14ac:dyDescent="0.25">
      <c r="I139" s="119"/>
    </row>
    <row r="141" spans="1:9" x14ac:dyDescent="0.25">
      <c r="A141" s="150" t="s">
        <v>203</v>
      </c>
      <c r="B141" s="150"/>
    </row>
    <row r="142" spans="1:9" x14ac:dyDescent="0.25">
      <c r="A142" s="150" t="s">
        <v>204</v>
      </c>
      <c r="B142" s="150"/>
    </row>
    <row r="143" spans="1:9" x14ac:dyDescent="0.25">
      <c r="A143" s="150"/>
      <c r="B143" s="150"/>
    </row>
    <row r="144" spans="1:9" x14ac:dyDescent="0.25">
      <c r="A144" s="150"/>
      <c r="B144" s="150"/>
    </row>
    <row r="145" spans="1:6" x14ac:dyDescent="0.25">
      <c r="A145" s="150" t="s">
        <v>206</v>
      </c>
      <c r="B145" s="150"/>
    </row>
    <row r="147" spans="1:6" x14ac:dyDescent="0.25">
      <c r="A147" t="s">
        <v>207</v>
      </c>
    </row>
    <row r="148" spans="1:6" x14ac:dyDescent="0.25">
      <c r="A148" s="150" t="s">
        <v>208</v>
      </c>
    </row>
    <row r="149" spans="1:6" x14ac:dyDescent="0.25">
      <c r="A149" s="150" t="s">
        <v>209</v>
      </c>
    </row>
    <row r="150" spans="1:6" x14ac:dyDescent="0.25">
      <c r="A150" s="150"/>
    </row>
    <row r="151" spans="1:6" x14ac:dyDescent="0.25">
      <c r="A151" s="150" t="s">
        <v>210</v>
      </c>
    </row>
    <row r="152" spans="1:6" x14ac:dyDescent="0.25">
      <c r="A152" s="150"/>
    </row>
    <row r="153" spans="1:6" x14ac:dyDescent="0.25">
      <c r="A153" s="150" t="s">
        <v>211</v>
      </c>
    </row>
    <row r="154" spans="1:6" x14ac:dyDescent="0.25">
      <c r="A154" s="150"/>
    </row>
    <row r="155" spans="1:6" x14ac:dyDescent="0.25">
      <c r="A155" s="150"/>
    </row>
    <row r="156" spans="1:6" x14ac:dyDescent="0.25">
      <c r="A156" s="150" t="s">
        <v>206</v>
      </c>
    </row>
    <row r="157" spans="1:6" x14ac:dyDescent="0.25">
      <c r="A157" s="150" t="s">
        <v>222</v>
      </c>
    </row>
    <row r="158" spans="1:6" x14ac:dyDescent="0.25">
      <c r="B158" s="151" t="s">
        <v>213</v>
      </c>
      <c r="C158" s="152"/>
      <c r="D158" s="152"/>
      <c r="E158" s="152"/>
      <c r="F158" s="152"/>
    </row>
    <row r="159" spans="1:6" x14ac:dyDescent="0.25">
      <c r="B159" s="151"/>
      <c r="C159" s="152"/>
      <c r="D159" s="152"/>
      <c r="E159" s="152"/>
      <c r="F159" s="152"/>
    </row>
    <row r="160" spans="1:6" x14ac:dyDescent="0.25">
      <c r="B160" s="151" t="s">
        <v>214</v>
      </c>
      <c r="C160" s="152" t="s">
        <v>215</v>
      </c>
      <c r="D160" s="152" t="s">
        <v>216</v>
      </c>
      <c r="E160" s="152" t="s">
        <v>217</v>
      </c>
      <c r="F160" s="152" t="s">
        <v>218</v>
      </c>
    </row>
    <row r="161" spans="1:6" x14ac:dyDescent="0.25">
      <c r="B161" s="151" t="s">
        <v>219</v>
      </c>
      <c r="C161" s="153">
        <v>1.6500000000000001E-2</v>
      </c>
      <c r="D161" s="153">
        <v>7.5999999999999998E-2</v>
      </c>
      <c r="E161" s="154">
        <v>0.05</v>
      </c>
      <c r="F161" s="152">
        <v>0.85750000000000004</v>
      </c>
    </row>
    <row r="162" spans="1:6" x14ac:dyDescent="0.25">
      <c r="B162" s="151" t="s">
        <v>220</v>
      </c>
      <c r="C162" s="153">
        <v>6.4999999999999997E-3</v>
      </c>
      <c r="D162" s="154">
        <v>0.03</v>
      </c>
      <c r="E162" s="154">
        <v>0.05</v>
      </c>
      <c r="F162" s="152">
        <v>0.91349999999999998</v>
      </c>
    </row>
    <row r="163" spans="1:6" x14ac:dyDescent="0.25">
      <c r="B163" s="151" t="s">
        <v>221</v>
      </c>
      <c r="C163" s="153">
        <v>4.4000000000000003E-3</v>
      </c>
      <c r="D163" s="153">
        <v>2.35E-2</v>
      </c>
      <c r="E163" s="154">
        <v>0.05</v>
      </c>
      <c r="F163" s="152">
        <v>0.92210000000000003</v>
      </c>
    </row>
    <row r="165" spans="1:6" x14ac:dyDescent="0.25">
      <c r="A165" s="156" t="s">
        <v>224</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abSelected="1" workbookViewId="0">
      <selection activeCell="D18" sqref="D18"/>
    </sheetView>
  </sheetViews>
  <sheetFormatPr defaultRowHeight="15" x14ac:dyDescent="0.25"/>
  <cols>
    <col min="1" max="1" width="9.7109375" customWidth="1"/>
    <col min="2" max="2" width="5.140625" bestFit="1" customWidth="1"/>
    <col min="3" max="3" width="56.28515625" customWidth="1"/>
    <col min="4" max="4" width="16.42578125" bestFit="1" customWidth="1"/>
    <col min="5" max="5" width="13.140625" bestFit="1" customWidth="1"/>
    <col min="6" max="6" width="14.5703125" customWidth="1"/>
    <col min="7" max="7" width="19.7109375" customWidth="1"/>
    <col min="8" max="8" width="13.28515625" bestFit="1" customWidth="1"/>
    <col min="10" max="10" width="60.85546875" bestFit="1" customWidth="1"/>
  </cols>
  <sheetData>
    <row r="1" spans="1:8" x14ac:dyDescent="0.25">
      <c r="A1" s="310" t="s">
        <v>200</v>
      </c>
      <c r="B1" s="310"/>
      <c r="C1" s="310"/>
      <c r="D1" s="310"/>
      <c r="E1" s="310"/>
      <c r="F1" s="310"/>
      <c r="G1" s="310"/>
    </row>
    <row r="2" spans="1:8" ht="0.75" hidden="1" customHeight="1" x14ac:dyDescent="0.25">
      <c r="A2" s="138" t="s">
        <v>187</v>
      </c>
      <c r="B2" s="138" t="s">
        <v>188</v>
      </c>
      <c r="C2" s="139" t="s">
        <v>189</v>
      </c>
      <c r="D2" s="139" t="s">
        <v>190</v>
      </c>
      <c r="E2" s="139" t="s">
        <v>191</v>
      </c>
      <c r="F2" s="139" t="s">
        <v>192</v>
      </c>
      <c r="G2" s="152"/>
    </row>
    <row r="3" spans="1:8" ht="15" hidden="1" customHeight="1" x14ac:dyDescent="0.25">
      <c r="A3" s="314">
        <v>1</v>
      </c>
      <c r="B3" s="140">
        <v>1</v>
      </c>
      <c r="C3" s="145" t="s">
        <v>195</v>
      </c>
      <c r="D3" s="141">
        <f>'ASG ANGICOS'!H134</f>
        <v>2191.4584685146447</v>
      </c>
      <c r="E3" s="146">
        <f>'ASG ANGICOS'!E129</f>
        <v>10</v>
      </c>
      <c r="F3" s="142">
        <f>E3*D3</f>
        <v>21914.584685146445</v>
      </c>
      <c r="G3" s="152"/>
    </row>
    <row r="4" spans="1:8" ht="15" hidden="1" customHeight="1" x14ac:dyDescent="0.25">
      <c r="A4" s="314"/>
      <c r="B4" s="140">
        <v>2</v>
      </c>
      <c r="C4" s="145" t="s">
        <v>196</v>
      </c>
      <c r="D4" s="141">
        <f>'ASG ANGICOS'!H134</f>
        <v>2191.4584685146447</v>
      </c>
      <c r="E4" s="146">
        <f>'ALD ANGICOS'!E129</f>
        <v>5</v>
      </c>
      <c r="F4" s="142">
        <f t="shared" ref="F4:F7" si="0">E4*D4</f>
        <v>10957.292342573222</v>
      </c>
      <c r="G4" s="152"/>
    </row>
    <row r="5" spans="1:8" ht="15" hidden="1" customHeight="1" x14ac:dyDescent="0.25">
      <c r="A5" s="314"/>
      <c r="B5" s="140">
        <v>3</v>
      </c>
      <c r="C5" s="145" t="s">
        <v>197</v>
      </c>
      <c r="D5" s="141">
        <f>'JARDINEIRO ANGICOS'!H135</f>
        <v>2878.1016910828889</v>
      </c>
      <c r="E5" s="146">
        <f>'JARDINEIRO ANGICOS'!E130</f>
        <v>3</v>
      </c>
      <c r="F5" s="142">
        <f t="shared" si="0"/>
        <v>8634.3050732486663</v>
      </c>
      <c r="G5" s="152"/>
    </row>
    <row r="6" spans="1:8" ht="15" hidden="1" customHeight="1" x14ac:dyDescent="0.25">
      <c r="A6" s="314"/>
      <c r="B6" s="140">
        <v>4</v>
      </c>
      <c r="C6" s="145" t="s">
        <v>198</v>
      </c>
      <c r="D6" s="141">
        <f>'ENCARREGADO ANGICOS'!H135</f>
        <v>2493.5614003330261</v>
      </c>
      <c r="E6" s="146">
        <f>'ENCARREGADO ANGICOS'!E130</f>
        <v>1</v>
      </c>
      <c r="F6" s="142">
        <f t="shared" si="0"/>
        <v>2493.5614003330261</v>
      </c>
      <c r="G6" s="152"/>
    </row>
    <row r="7" spans="1:8" ht="15" hidden="1" customHeight="1" x14ac:dyDescent="0.25">
      <c r="A7" s="314"/>
      <c r="B7" s="140">
        <v>5</v>
      </c>
      <c r="C7" s="145" t="s">
        <v>199</v>
      </c>
      <c r="D7" s="141">
        <f>'COPEIRA ANGICOS'!H135</f>
        <v>2353.0768240878147</v>
      </c>
      <c r="E7" s="146">
        <f>'COPEIRA ANGICOS'!E130</f>
        <v>1</v>
      </c>
      <c r="F7" s="142">
        <f t="shared" si="0"/>
        <v>2353.0768240878147</v>
      </c>
      <c r="G7" s="152"/>
    </row>
    <row r="8" spans="1:8" hidden="1" x14ac:dyDescent="0.25">
      <c r="A8" s="315" t="s">
        <v>193</v>
      </c>
      <c r="B8" s="315"/>
      <c r="C8" s="315"/>
      <c r="D8" s="315"/>
      <c r="E8" s="315"/>
      <c r="F8" s="143">
        <f>SUM(F3:F7)</f>
        <v>46352.820325389177</v>
      </c>
      <c r="G8" s="152"/>
    </row>
    <row r="9" spans="1:8" hidden="1" x14ac:dyDescent="0.25">
      <c r="A9" s="315" t="s">
        <v>201</v>
      </c>
      <c r="B9" s="315"/>
      <c r="C9" s="315"/>
      <c r="D9" s="315"/>
      <c r="E9" s="315"/>
      <c r="F9" s="143">
        <f>F8*12</f>
        <v>556233.8439046701</v>
      </c>
      <c r="G9" s="152"/>
      <c r="H9" s="148"/>
    </row>
    <row r="10" spans="1:8" ht="15" hidden="1" customHeight="1" x14ac:dyDescent="0.25">
      <c r="A10" s="314">
        <v>2</v>
      </c>
      <c r="B10" s="140">
        <v>6</v>
      </c>
      <c r="C10" s="145" t="s">
        <v>195</v>
      </c>
      <c r="D10" s="141">
        <f>'ASG CARAÚBAS'!H134</f>
        <v>2191.1681280658213</v>
      </c>
      <c r="E10" s="146">
        <f>'ASG CARAÚBAS'!E129</f>
        <v>11</v>
      </c>
      <c r="F10" s="142">
        <f>E10*D10</f>
        <v>24102.849408724032</v>
      </c>
      <c r="G10" s="152"/>
    </row>
    <row r="11" spans="1:8" ht="15" hidden="1" customHeight="1" x14ac:dyDescent="0.25">
      <c r="A11" s="314"/>
      <c r="B11" s="140">
        <v>7</v>
      </c>
      <c r="C11" s="145" t="s">
        <v>196</v>
      </c>
      <c r="D11" s="141">
        <f>'ALD CARAÚBAS'!H134</f>
        <v>2860.5841180852158</v>
      </c>
      <c r="E11" s="146">
        <f>'ALD CARAÚBAS'!E129</f>
        <v>5</v>
      </c>
      <c r="F11" s="142">
        <f t="shared" ref="F11:F14" si="1">E11*D11</f>
        <v>14302.920590426078</v>
      </c>
      <c r="G11" s="152"/>
    </row>
    <row r="12" spans="1:8" ht="15" hidden="1" customHeight="1" x14ac:dyDescent="0.25">
      <c r="A12" s="314"/>
      <c r="B12" s="140">
        <v>8</v>
      </c>
      <c r="C12" s="145" t="s">
        <v>197</v>
      </c>
      <c r="D12" s="141">
        <f>'JARDINEIRO CARAÚBAS'!H135</f>
        <v>2898.414355560174</v>
      </c>
      <c r="E12" s="146">
        <f>'JARDINEIRO CARAÚBAS'!E130</f>
        <v>3</v>
      </c>
      <c r="F12" s="142">
        <f t="shared" si="1"/>
        <v>8695.243066680523</v>
      </c>
      <c r="G12" s="152"/>
    </row>
    <row r="13" spans="1:8" ht="15" hidden="1" customHeight="1" x14ac:dyDescent="0.25">
      <c r="A13" s="314"/>
      <c r="B13" s="140">
        <v>9</v>
      </c>
      <c r="C13" s="145" t="s">
        <v>198</v>
      </c>
      <c r="D13" s="141">
        <f>'ENCARREGADO CARAÚBAS'!H135</f>
        <v>2493.2710598842023</v>
      </c>
      <c r="E13" s="146">
        <f>'ENCARREGADO CARAÚBAS'!E130</f>
        <v>1</v>
      </c>
      <c r="F13" s="142">
        <f t="shared" si="1"/>
        <v>2493.2710598842023</v>
      </c>
      <c r="G13" s="152"/>
    </row>
    <row r="14" spans="1:8" ht="15" hidden="1" customHeight="1" x14ac:dyDescent="0.25">
      <c r="A14" s="314"/>
      <c r="B14" s="140">
        <v>10</v>
      </c>
      <c r="C14" s="145" t="s">
        <v>199</v>
      </c>
      <c r="D14" s="141">
        <f>'COPEIRA CARAÚBAS'!H135</f>
        <v>2352.7864836389917</v>
      </c>
      <c r="E14" s="146">
        <f>'COPEIRA CARAÚBAS'!E130</f>
        <v>1</v>
      </c>
      <c r="F14" s="142">
        <f t="shared" si="1"/>
        <v>2352.7864836389917</v>
      </c>
      <c r="G14" s="152"/>
    </row>
    <row r="15" spans="1:8" hidden="1" x14ac:dyDescent="0.25">
      <c r="A15" s="315" t="s">
        <v>194</v>
      </c>
      <c r="B15" s="315"/>
      <c r="C15" s="315"/>
      <c r="D15" s="315"/>
      <c r="E15" s="315"/>
      <c r="F15" s="143">
        <f>SUM(F10:F14)</f>
        <v>51947.070609353832</v>
      </c>
      <c r="G15" s="152"/>
    </row>
    <row r="16" spans="1:8" hidden="1" x14ac:dyDescent="0.25">
      <c r="A16" s="315" t="s">
        <v>201</v>
      </c>
      <c r="B16" s="315"/>
      <c r="C16" s="315"/>
      <c r="D16" s="315"/>
      <c r="E16" s="315"/>
      <c r="F16" s="143">
        <f>F15*12</f>
        <v>623364.84731224598</v>
      </c>
      <c r="G16" s="152"/>
    </row>
    <row r="17" spans="1:8" ht="45" x14ac:dyDescent="0.25">
      <c r="A17" s="263" t="s">
        <v>260</v>
      </c>
      <c r="B17" s="263" t="s">
        <v>245</v>
      </c>
      <c r="C17" s="263" t="s">
        <v>261</v>
      </c>
      <c r="D17" s="263" t="s">
        <v>246</v>
      </c>
      <c r="E17" s="263" t="s">
        <v>247</v>
      </c>
      <c r="F17" s="267" t="s">
        <v>262</v>
      </c>
      <c r="G17" s="268" t="s">
        <v>263</v>
      </c>
    </row>
    <row r="18" spans="1:8" x14ac:dyDescent="0.25">
      <c r="A18" s="314">
        <v>1</v>
      </c>
      <c r="B18" s="264">
        <v>1</v>
      </c>
      <c r="C18" s="269" t="str">
        <f>ASG_ANGICOS!D21</f>
        <v>AUXILIAR DE LIMPEZA</v>
      </c>
      <c r="D18" s="265">
        <f>ASG_ANGICOS!D129</f>
        <v>2744.2792610048459</v>
      </c>
      <c r="E18" s="264">
        <f>ASG_ANGICOS!E129</f>
        <v>13</v>
      </c>
      <c r="F18" s="142">
        <f>E18*D18</f>
        <v>35675.630393062995</v>
      </c>
      <c r="G18" s="270">
        <f>F18*12</f>
        <v>428107.56471675594</v>
      </c>
      <c r="H18" s="119"/>
    </row>
    <row r="19" spans="1:8" x14ac:dyDescent="0.25">
      <c r="A19" s="314"/>
      <c r="B19" s="264">
        <v>2</v>
      </c>
      <c r="C19" s="266" t="str">
        <f>ALD_ANGICOS!D21</f>
        <v>AGENTE DE LIMPEZA E DESINFECÇÃO</v>
      </c>
      <c r="D19" s="265">
        <f>ALD_ANGICOS!D129</f>
        <v>3581.8032261981562</v>
      </c>
      <c r="E19" s="264">
        <f>ALD_ANGICOS!E129</f>
        <v>6</v>
      </c>
      <c r="F19" s="142">
        <f>E19*D19</f>
        <v>21490.819357188935</v>
      </c>
      <c r="G19" s="270">
        <f t="shared" ref="G19:G22" si="2">F19*12</f>
        <v>257889.83228626722</v>
      </c>
      <c r="H19" s="119"/>
    </row>
    <row r="20" spans="1:8" x14ac:dyDescent="0.25">
      <c r="A20" s="314"/>
      <c r="B20" s="264">
        <v>3</v>
      </c>
      <c r="C20" s="266" t="str">
        <f>COPEIRA_ANGICOS!D21</f>
        <v>COPEIRO</v>
      </c>
      <c r="D20" s="265">
        <f>COPEIRA_ANGICOS!D130</f>
        <v>2922.9407480705627</v>
      </c>
      <c r="E20" s="264">
        <f>COPEIRA_ANGICOS!E130</f>
        <v>1</v>
      </c>
      <c r="F20" s="142">
        <f>E20*D20</f>
        <v>2922.9407480705627</v>
      </c>
      <c r="G20" s="270">
        <f t="shared" si="2"/>
        <v>35075.28897684675</v>
      </c>
      <c r="H20" s="119"/>
    </row>
    <row r="21" spans="1:8" x14ac:dyDescent="0.25">
      <c r="A21" s="314"/>
      <c r="B21" s="264">
        <v>4</v>
      </c>
      <c r="C21" s="266" t="str">
        <f>ENCARREGADO_ANGICOS!D21</f>
        <v>ENCARREGADO</v>
      </c>
      <c r="D21" s="265">
        <f>ENCARREGADO_ANGICOS!D130</f>
        <v>3103.1986729777118</v>
      </c>
      <c r="E21" s="264">
        <f>ENCARREGADO_ANGICOS!E130</f>
        <v>1</v>
      </c>
      <c r="F21" s="142">
        <f t="shared" ref="F21:F22" si="3">E21*D21</f>
        <v>3103.1986729777118</v>
      </c>
      <c r="G21" s="270">
        <f t="shared" si="2"/>
        <v>37238.384075732538</v>
      </c>
      <c r="H21" s="119"/>
    </row>
    <row r="22" spans="1:8" x14ac:dyDescent="0.25">
      <c r="A22" s="314"/>
      <c r="B22" s="264">
        <v>5</v>
      </c>
      <c r="C22" s="266" t="str">
        <f>JARDINEIRO_ANGICOS!D21</f>
        <v>JARDINEIRO</v>
      </c>
      <c r="D22" s="265">
        <f>JARDINEIRO_ANGICOS!D130</f>
        <v>3234.8961166072713</v>
      </c>
      <c r="E22" s="264">
        <f>JARDINEIRO_ANGICOS!E130</f>
        <v>4</v>
      </c>
      <c r="F22" s="142">
        <f t="shared" si="3"/>
        <v>12939.584466429085</v>
      </c>
      <c r="G22" s="270">
        <f t="shared" si="2"/>
        <v>155275.01359714902</v>
      </c>
      <c r="H22" s="119"/>
    </row>
    <row r="23" spans="1:8" x14ac:dyDescent="0.25">
      <c r="A23" s="311" t="s">
        <v>201</v>
      </c>
      <c r="B23" s="312"/>
      <c r="C23" s="312"/>
      <c r="D23" s="312"/>
      <c r="E23" s="312"/>
      <c r="F23" s="313"/>
      <c r="G23" s="144">
        <f>SUM(G18:G22)</f>
        <v>913586.08365275152</v>
      </c>
      <c r="H23" s="119"/>
    </row>
    <row r="24" spans="1:8" x14ac:dyDescent="0.25">
      <c r="H24" s="119"/>
    </row>
    <row r="25" spans="1:8" x14ac:dyDescent="0.25">
      <c r="H25" s="119"/>
    </row>
    <row r="26" spans="1:8" x14ac:dyDescent="0.25">
      <c r="H26" s="119"/>
    </row>
    <row r="27" spans="1:8" x14ac:dyDescent="0.25">
      <c r="F27" s="147"/>
    </row>
  </sheetData>
  <mergeCells count="9">
    <mergeCell ref="A1:G1"/>
    <mergeCell ref="A23:F23"/>
    <mergeCell ref="A18:A22"/>
    <mergeCell ref="A3:A7"/>
    <mergeCell ref="A8:E8"/>
    <mergeCell ref="A10:A14"/>
    <mergeCell ref="A15:E15"/>
    <mergeCell ref="A9:E9"/>
    <mergeCell ref="A16:E16"/>
  </mergeCells>
  <pageMargins left="0.51181102362204722" right="0.51181102362204722" top="0.78740157480314965" bottom="0.78740157480314965"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5"/>
  <sheetViews>
    <sheetView topLeftCell="A100" zoomScale="70" zoomScaleNormal="70" workbookViewId="0">
      <selection activeCell="H84" sqref="H84"/>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14.85546875" bestFit="1" customWidth="1"/>
    <col min="10" max="10" width="13.85546875"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273" t="s">
        <v>3</v>
      </c>
      <c r="B3" s="273"/>
      <c r="C3" s="273"/>
      <c r="D3" s="273"/>
      <c r="E3" s="273"/>
      <c r="F3" s="273"/>
      <c r="G3" s="273"/>
      <c r="H3" s="273"/>
    </row>
    <row r="4" spans="1:8" ht="15.75" x14ac:dyDescent="0.25">
      <c r="A4" s="6" t="s">
        <v>4</v>
      </c>
      <c r="B4" s="7" t="s">
        <v>5</v>
      </c>
      <c r="C4" s="7"/>
      <c r="D4" s="8"/>
      <c r="E4" s="291" t="s">
        <v>6</v>
      </c>
      <c r="F4" s="291"/>
      <c r="G4" s="291"/>
      <c r="H4" s="291"/>
    </row>
    <row r="5" spans="1:8" ht="15.75" x14ac:dyDescent="0.25">
      <c r="A5" s="6" t="s">
        <v>7</v>
      </c>
      <c r="B5" s="7" t="s">
        <v>8</v>
      </c>
      <c r="C5" s="7"/>
      <c r="D5" s="9"/>
      <c r="E5" s="291"/>
      <c r="F5" s="291"/>
      <c r="G5" s="291"/>
      <c r="H5" s="291"/>
    </row>
    <row r="6" spans="1:8" ht="15.75" x14ac:dyDescent="0.25">
      <c r="A6" s="6" t="s">
        <v>9</v>
      </c>
      <c r="B6" s="7" t="s">
        <v>10</v>
      </c>
      <c r="C6" s="7"/>
      <c r="D6" s="10" t="s">
        <v>11</v>
      </c>
      <c r="E6" s="291"/>
      <c r="F6" s="291"/>
      <c r="G6" s="291"/>
      <c r="H6" s="291"/>
    </row>
    <row r="7" spans="1:8" ht="15.75" x14ac:dyDescent="0.25">
      <c r="A7" s="292"/>
      <c r="B7" s="292"/>
      <c r="C7" s="292"/>
      <c r="D7" s="292"/>
      <c r="E7" s="11"/>
      <c r="F7" s="11"/>
      <c r="G7" s="11"/>
      <c r="H7" s="11"/>
    </row>
    <row r="8" spans="1:8" ht="15.75" x14ac:dyDescent="0.25">
      <c r="A8" s="273" t="s">
        <v>12</v>
      </c>
      <c r="B8" s="273"/>
      <c r="C8" s="273"/>
      <c r="D8" s="273"/>
      <c r="E8" s="273"/>
      <c r="F8" s="273"/>
      <c r="G8" s="273"/>
      <c r="H8" s="273"/>
    </row>
    <row r="9" spans="1:8" x14ac:dyDescent="0.25">
      <c r="A9" s="12" t="s">
        <v>4</v>
      </c>
      <c r="B9" s="13" t="s">
        <v>13</v>
      </c>
      <c r="C9" s="13"/>
      <c r="D9" s="285" t="s">
        <v>14</v>
      </c>
      <c r="E9" s="285"/>
      <c r="F9" s="285"/>
      <c r="G9" s="285"/>
      <c r="H9" s="285"/>
    </row>
    <row r="10" spans="1:8" x14ac:dyDescent="0.25">
      <c r="A10" s="12" t="s">
        <v>7</v>
      </c>
      <c r="B10" s="13" t="s">
        <v>15</v>
      </c>
      <c r="C10" s="13"/>
      <c r="D10" s="293" t="s">
        <v>185</v>
      </c>
      <c r="E10" s="293"/>
      <c r="F10" s="293"/>
      <c r="G10" s="293"/>
      <c r="H10" s="293"/>
    </row>
    <row r="11" spans="1:8" x14ac:dyDescent="0.25">
      <c r="A11" s="12" t="s">
        <v>9</v>
      </c>
      <c r="B11" s="13" t="s">
        <v>16</v>
      </c>
      <c r="C11" s="13"/>
      <c r="D11" s="293" t="s">
        <v>174</v>
      </c>
      <c r="E11" s="293"/>
      <c r="F11" s="293"/>
      <c r="G11" s="293"/>
      <c r="H11" s="293"/>
    </row>
    <row r="12" spans="1:8" x14ac:dyDescent="0.25">
      <c r="A12" s="12" t="s">
        <v>17</v>
      </c>
      <c r="B12" s="13" t="s">
        <v>18</v>
      </c>
      <c r="C12" s="13"/>
      <c r="D12" s="293">
        <v>12</v>
      </c>
      <c r="E12" s="293"/>
      <c r="F12" s="293"/>
      <c r="G12" s="293"/>
      <c r="H12" s="293"/>
    </row>
    <row r="13" spans="1:8" x14ac:dyDescent="0.25">
      <c r="A13" s="12"/>
      <c r="B13" s="13"/>
      <c r="C13" s="13"/>
      <c r="D13" s="14"/>
      <c r="E13" s="14"/>
      <c r="F13" s="14"/>
      <c r="G13" s="14"/>
      <c r="H13" s="15"/>
    </row>
    <row r="14" spans="1:8" ht="15.75" x14ac:dyDescent="0.25">
      <c r="A14" s="273" t="s">
        <v>19</v>
      </c>
      <c r="B14" s="273"/>
      <c r="C14" s="273"/>
      <c r="D14" s="273"/>
      <c r="E14" s="273"/>
      <c r="F14" s="273"/>
      <c r="G14" s="273"/>
      <c r="H14" s="273"/>
    </row>
    <row r="15" spans="1:8" ht="15.75" x14ac:dyDescent="0.25">
      <c r="A15" s="12"/>
      <c r="B15" s="16" t="s">
        <v>20</v>
      </c>
      <c r="C15" s="16"/>
      <c r="D15" s="17" t="s">
        <v>21</v>
      </c>
      <c r="E15" s="294" t="s">
        <v>22</v>
      </c>
      <c r="F15" s="294"/>
      <c r="G15" s="294"/>
      <c r="H15" s="294"/>
    </row>
    <row r="16" spans="1:8" x14ac:dyDescent="0.25">
      <c r="A16" s="12" t="s">
        <v>4</v>
      </c>
      <c r="B16" s="18" t="s">
        <v>180</v>
      </c>
      <c r="C16" s="19"/>
      <c r="D16" s="20" t="s">
        <v>23</v>
      </c>
      <c r="E16" s="295">
        <v>1</v>
      </c>
      <c r="F16" s="295"/>
      <c r="G16" s="295"/>
      <c r="H16" s="295"/>
    </row>
    <row r="17" spans="1:13" x14ac:dyDescent="0.25">
      <c r="A17" s="12" t="s">
        <v>7</v>
      </c>
      <c r="B17" s="13"/>
      <c r="C17" s="13"/>
      <c r="D17" s="21"/>
      <c r="E17" s="283"/>
      <c r="F17" s="283"/>
      <c r="G17" s="283"/>
      <c r="H17" s="283"/>
    </row>
    <row r="18" spans="1:13" x14ac:dyDescent="0.25">
      <c r="A18" s="12" t="s">
        <v>9</v>
      </c>
      <c r="B18" s="13"/>
      <c r="C18" s="13"/>
      <c r="D18" s="21"/>
      <c r="E18" s="283"/>
      <c r="F18" s="283"/>
      <c r="G18" s="283"/>
      <c r="H18" s="283"/>
    </row>
    <row r="19" spans="1:13" ht="15.75" x14ac:dyDescent="0.25">
      <c r="A19" s="110"/>
      <c r="B19" s="273" t="s">
        <v>24</v>
      </c>
      <c r="C19" s="273"/>
      <c r="D19" s="273"/>
      <c r="E19" s="273"/>
      <c r="F19" s="273"/>
      <c r="G19" s="273"/>
      <c r="H19" s="273"/>
    </row>
    <row r="20" spans="1:13" ht="15.75" x14ac:dyDescent="0.25">
      <c r="A20" s="284" t="s">
        <v>25</v>
      </c>
      <c r="B20" s="284"/>
      <c r="C20" s="284"/>
      <c r="D20" s="284"/>
      <c r="E20" s="284"/>
      <c r="F20" s="284"/>
      <c r="G20" s="284"/>
      <c r="H20" s="284"/>
    </row>
    <row r="21" spans="1:13" x14ac:dyDescent="0.25">
      <c r="A21" s="12">
        <v>1</v>
      </c>
      <c r="B21" s="13" t="s">
        <v>20</v>
      </c>
      <c r="C21" s="13"/>
      <c r="D21" s="285" t="s">
        <v>175</v>
      </c>
      <c r="E21" s="285"/>
      <c r="F21" s="285"/>
      <c r="G21" s="285"/>
      <c r="H21" s="285"/>
    </row>
    <row r="22" spans="1:13" x14ac:dyDescent="0.25">
      <c r="A22" s="12">
        <v>2</v>
      </c>
      <c r="B22" s="13" t="s">
        <v>26</v>
      </c>
      <c r="C22" s="13"/>
      <c r="D22" s="286" t="s">
        <v>176</v>
      </c>
      <c r="E22" s="286"/>
      <c r="F22" s="286"/>
      <c r="G22" s="286"/>
      <c r="H22" s="286"/>
    </row>
    <row r="23" spans="1:13" x14ac:dyDescent="0.25">
      <c r="A23" s="12">
        <v>3</v>
      </c>
      <c r="B23" s="13" t="s">
        <v>27</v>
      </c>
      <c r="C23" s="13"/>
      <c r="D23" s="22">
        <v>988.8</v>
      </c>
      <c r="E23" s="23"/>
      <c r="F23" s="23"/>
      <c r="G23" s="23"/>
      <c r="H23" s="23"/>
    </row>
    <row r="24" spans="1:13" ht="30" x14ac:dyDescent="0.25">
      <c r="A24" s="1">
        <v>4</v>
      </c>
      <c r="B24" s="24" t="s">
        <v>28</v>
      </c>
      <c r="C24" s="24"/>
      <c r="D24" s="287" t="s">
        <v>170</v>
      </c>
      <c r="E24" s="287"/>
      <c r="F24" s="287"/>
      <c r="G24" s="287"/>
      <c r="H24" s="287"/>
    </row>
    <row r="25" spans="1:13" x14ac:dyDescent="0.25">
      <c r="A25" s="1">
        <v>5</v>
      </c>
      <c r="B25" s="25" t="s">
        <v>29</v>
      </c>
      <c r="C25" s="25"/>
      <c r="D25" s="288" t="s">
        <v>171</v>
      </c>
      <c r="E25" s="288"/>
      <c r="F25" s="288"/>
      <c r="G25" s="288"/>
      <c r="H25" s="288"/>
    </row>
    <row r="26" spans="1:13" ht="15.75" x14ac:dyDescent="0.25">
      <c r="A26" s="26">
        <v>1</v>
      </c>
      <c r="B26" s="271" t="s">
        <v>30</v>
      </c>
      <c r="C26" s="271"/>
      <c r="D26" s="271"/>
      <c r="E26" s="271"/>
      <c r="F26" s="271"/>
      <c r="G26" s="271"/>
      <c r="H26" s="271"/>
    </row>
    <row r="27" spans="1:13" ht="15.75" x14ac:dyDescent="0.25">
      <c r="A27" s="1" t="s">
        <v>4</v>
      </c>
      <c r="B27" s="27" t="s">
        <v>31</v>
      </c>
      <c r="C27" s="27"/>
      <c r="D27" s="27"/>
      <c r="G27" s="28"/>
      <c r="H27" s="29">
        <v>988.8</v>
      </c>
      <c r="M27">
        <v>111.9</v>
      </c>
    </row>
    <row r="28" spans="1:13" ht="15.75" x14ac:dyDescent="0.25">
      <c r="A28" s="1" t="s">
        <v>7</v>
      </c>
      <c r="B28" s="6" t="s">
        <v>32</v>
      </c>
      <c r="C28" s="6"/>
      <c r="D28" s="30" t="s">
        <v>33</v>
      </c>
      <c r="E28" s="31">
        <v>0</v>
      </c>
      <c r="H28" s="32">
        <f>H27*E28</f>
        <v>0</v>
      </c>
    </row>
    <row r="29" spans="1:13" ht="15.75" x14ac:dyDescent="0.25">
      <c r="A29" s="1" t="s">
        <v>9</v>
      </c>
      <c r="B29" s="6" t="s">
        <v>34</v>
      </c>
      <c r="C29" s="6"/>
      <c r="D29" s="33" t="s">
        <v>35</v>
      </c>
      <c r="E29" s="34" t="s">
        <v>36</v>
      </c>
      <c r="F29" s="33" t="s">
        <v>37</v>
      </c>
      <c r="G29" s="35"/>
      <c r="H29" s="32">
        <f>E30*F30</f>
        <v>0</v>
      </c>
    </row>
    <row r="30" spans="1:13" ht="15.75" x14ac:dyDescent="0.25">
      <c r="A30" s="1" t="s">
        <v>17</v>
      </c>
      <c r="B30" s="6" t="s">
        <v>38</v>
      </c>
      <c r="C30" s="6"/>
      <c r="D30" s="30" t="s">
        <v>39</v>
      </c>
      <c r="E30" s="36">
        <v>0</v>
      </c>
      <c r="F30" s="37">
        <v>954</v>
      </c>
      <c r="G30" s="27"/>
      <c r="H30" s="38"/>
    </row>
    <row r="31" spans="1:13" ht="15.75" x14ac:dyDescent="0.25">
      <c r="A31" s="1" t="s">
        <v>40</v>
      </c>
      <c r="B31" s="6" t="s">
        <v>41</v>
      </c>
      <c r="C31" s="6"/>
      <c r="G31" s="35"/>
      <c r="H31" s="38"/>
    </row>
    <row r="32" spans="1:13" ht="15.75" x14ac:dyDescent="0.25">
      <c r="A32" s="1" t="s">
        <v>42</v>
      </c>
      <c r="B32" s="6" t="s">
        <v>159</v>
      </c>
      <c r="C32" s="6"/>
      <c r="G32" s="35"/>
      <c r="H32" s="38"/>
    </row>
    <row r="33" spans="1:10" ht="15.75" x14ac:dyDescent="0.25">
      <c r="A33" s="1" t="s">
        <v>61</v>
      </c>
      <c r="B33" s="6" t="s">
        <v>155</v>
      </c>
      <c r="C33" s="6"/>
      <c r="G33" s="35"/>
      <c r="H33" s="38"/>
    </row>
    <row r="34" spans="1:10" ht="15.75" x14ac:dyDescent="0.25">
      <c r="A34" s="1" t="s">
        <v>43</v>
      </c>
      <c r="B34" s="8" t="s">
        <v>160</v>
      </c>
      <c r="C34" s="8"/>
      <c r="G34" s="35"/>
      <c r="H34" s="38"/>
    </row>
    <row r="35" spans="1:10" ht="15.75" x14ac:dyDescent="0.25">
      <c r="A35" s="1" t="s">
        <v>161</v>
      </c>
      <c r="B35" s="8" t="s">
        <v>162</v>
      </c>
      <c r="C35" s="8"/>
      <c r="G35" s="35"/>
      <c r="H35" s="38"/>
      <c r="J35" s="121">
        <f>SUM(H30:H35)</f>
        <v>0</v>
      </c>
    </row>
    <row r="36" spans="1:10" ht="15.75" x14ac:dyDescent="0.25">
      <c r="A36" s="1" t="s">
        <v>19</v>
      </c>
      <c r="B36" s="6" t="s">
        <v>44</v>
      </c>
      <c r="C36" s="6"/>
      <c r="D36" s="27"/>
      <c r="E36" s="27"/>
      <c r="F36" s="35"/>
      <c r="G36" s="35"/>
      <c r="H36" s="35">
        <v>0</v>
      </c>
    </row>
    <row r="37" spans="1:10" ht="15.75" x14ac:dyDescent="0.25">
      <c r="A37" s="39"/>
      <c r="B37" s="40" t="s">
        <v>45</v>
      </c>
      <c r="C37" s="40"/>
      <c r="D37" s="41"/>
      <c r="E37" s="41"/>
      <c r="F37" s="42"/>
      <c r="G37" s="42"/>
      <c r="H37" s="43">
        <f>SUM(H27:H36)</f>
        <v>988.8</v>
      </c>
    </row>
    <row r="38" spans="1:10" ht="15.75" x14ac:dyDescent="0.25">
      <c r="A38" s="44">
        <v>2</v>
      </c>
      <c r="B38" s="289" t="s">
        <v>46</v>
      </c>
      <c r="C38" s="289"/>
      <c r="D38" s="289"/>
      <c r="E38" s="289"/>
      <c r="F38" s="289"/>
      <c r="G38" s="289"/>
      <c r="H38" s="289"/>
    </row>
    <row r="39" spans="1:10" ht="15.75" x14ac:dyDescent="0.25">
      <c r="A39" s="124" t="s">
        <v>47</v>
      </c>
      <c r="B39" s="290" t="s">
        <v>48</v>
      </c>
      <c r="C39" s="290"/>
      <c r="D39" s="290"/>
      <c r="E39" s="290"/>
      <c r="F39" s="290"/>
      <c r="G39" s="290"/>
      <c r="H39" s="290"/>
    </row>
    <row r="40" spans="1:10" ht="15.75" x14ac:dyDescent="0.25">
      <c r="A40" s="1" t="s">
        <v>4</v>
      </c>
      <c r="B40" s="8" t="s">
        <v>49</v>
      </c>
      <c r="C40" s="8"/>
      <c r="D40" s="8"/>
      <c r="E40" s="27"/>
      <c r="F40" s="28"/>
      <c r="G40" s="45">
        <v>8.3299999999999999E-2</v>
      </c>
      <c r="H40" s="28">
        <f>SUM($H$37*G40)</f>
        <v>82.367039999999989</v>
      </c>
    </row>
    <row r="41" spans="1:10" ht="15.75" x14ac:dyDescent="0.25">
      <c r="A41" s="1" t="s">
        <v>7</v>
      </c>
      <c r="B41" s="27" t="s">
        <v>50</v>
      </c>
      <c r="C41" s="27"/>
      <c r="D41" s="27"/>
      <c r="E41" s="27"/>
      <c r="F41" s="46"/>
      <c r="G41" s="47">
        <v>0.121</v>
      </c>
      <c r="H41" s="28">
        <f>SUM($H$37*G41)</f>
        <v>119.64479999999999</v>
      </c>
    </row>
    <row r="42" spans="1:10" ht="15.75" x14ac:dyDescent="0.25">
      <c r="A42" s="1" t="s">
        <v>9</v>
      </c>
      <c r="B42" s="48" t="s">
        <v>51</v>
      </c>
      <c r="C42" s="48"/>
      <c r="D42" s="27"/>
      <c r="E42" s="27"/>
      <c r="F42" s="46"/>
      <c r="G42" s="47">
        <f>G41+G40*G53</f>
        <v>0.15165439999999999</v>
      </c>
      <c r="H42" s="28">
        <f>SUM(H40:H41)*G53</f>
        <v>74.340357120000007</v>
      </c>
    </row>
    <row r="43" spans="1:10" ht="15.75" x14ac:dyDescent="0.25">
      <c r="A43" s="49"/>
      <c r="B43" s="50" t="s">
        <v>45</v>
      </c>
      <c r="C43" s="40"/>
      <c r="D43" s="41"/>
      <c r="E43" s="41"/>
      <c r="F43" s="42"/>
      <c r="G43" s="42"/>
      <c r="H43" s="43">
        <f>SUM(H40:H42)</f>
        <v>276.35219711999997</v>
      </c>
    </row>
    <row r="44" spans="1:10" ht="15.75" x14ac:dyDescent="0.25">
      <c r="A44" s="110" t="s">
        <v>52</v>
      </c>
      <c r="B44" s="273" t="s">
        <v>53</v>
      </c>
      <c r="C44" s="273"/>
      <c r="D44" s="273"/>
      <c r="E44" s="273"/>
      <c r="F44" s="273"/>
      <c r="G44" s="273"/>
      <c r="H44" s="273"/>
    </row>
    <row r="45" spans="1:10" ht="15.75" x14ac:dyDescent="0.25">
      <c r="A45" s="1" t="s">
        <v>4</v>
      </c>
      <c r="B45" s="51" t="s">
        <v>54</v>
      </c>
      <c r="C45" s="51"/>
      <c r="D45" s="27"/>
      <c r="E45" s="27"/>
      <c r="F45" s="28"/>
      <c r="G45" s="45">
        <v>0.2</v>
      </c>
      <c r="H45" s="28">
        <f>SUM($H$37*G45)</f>
        <v>197.76</v>
      </c>
    </row>
    <row r="46" spans="1:10" ht="15.75" x14ac:dyDescent="0.25">
      <c r="A46" s="1" t="s">
        <v>7</v>
      </c>
      <c r="B46" s="51" t="s">
        <v>55</v>
      </c>
      <c r="C46" s="51"/>
      <c r="D46" s="282" t="s">
        <v>56</v>
      </c>
      <c r="E46" s="282"/>
      <c r="F46" s="28"/>
      <c r="G46" s="52">
        <v>1.4999999999999999E-2</v>
      </c>
      <c r="H46" s="28">
        <f>SUM($H$37*G46)</f>
        <v>14.831999999999999</v>
      </c>
    </row>
    <row r="47" spans="1:10" ht="15.75" x14ac:dyDescent="0.25">
      <c r="A47" s="1" t="s">
        <v>9</v>
      </c>
      <c r="B47" s="51" t="s">
        <v>57</v>
      </c>
      <c r="C47" s="51"/>
      <c r="D47" s="282"/>
      <c r="E47" s="282"/>
      <c r="F47" s="28"/>
      <c r="G47" s="52">
        <v>0.01</v>
      </c>
      <c r="H47" s="28">
        <f t="shared" ref="H47:H52" si="0">SUM($H$37*G47)</f>
        <v>9.8879999999999999</v>
      </c>
      <c r="I47" s="115"/>
    </row>
    <row r="48" spans="1:10" ht="15.75" x14ac:dyDescent="0.25">
      <c r="A48" s="1" t="s">
        <v>17</v>
      </c>
      <c r="B48" s="51" t="s">
        <v>58</v>
      </c>
      <c r="C48" s="51"/>
      <c r="D48" s="27"/>
      <c r="E48" s="27"/>
      <c r="F48" s="28"/>
      <c r="G48" s="52">
        <v>2E-3</v>
      </c>
      <c r="H48" s="28">
        <f t="shared" si="0"/>
        <v>1.9776</v>
      </c>
    </row>
    <row r="49" spans="1:8" ht="15.75" x14ac:dyDescent="0.25">
      <c r="A49" s="1" t="s">
        <v>40</v>
      </c>
      <c r="B49" s="51" t="s">
        <v>59</v>
      </c>
      <c r="C49" s="51"/>
      <c r="D49" s="27"/>
      <c r="E49" s="27"/>
      <c r="F49" s="28"/>
      <c r="G49" s="52">
        <v>2.5000000000000001E-2</v>
      </c>
      <c r="H49" s="28">
        <f t="shared" si="0"/>
        <v>24.72</v>
      </c>
    </row>
    <row r="50" spans="1:8" ht="15.75" x14ac:dyDescent="0.25">
      <c r="A50" s="1" t="s">
        <v>42</v>
      </c>
      <c r="B50" s="51" t="s">
        <v>60</v>
      </c>
      <c r="C50" s="51"/>
      <c r="D50" s="27"/>
      <c r="E50" s="27"/>
      <c r="F50" s="28"/>
      <c r="G50" s="45">
        <v>0.08</v>
      </c>
      <c r="H50" s="28">
        <f t="shared" si="0"/>
        <v>79.103999999999999</v>
      </c>
    </row>
    <row r="51" spans="1:8" ht="15.75" x14ac:dyDescent="0.25">
      <c r="A51" s="127" t="s">
        <v>61</v>
      </c>
      <c r="B51" s="128" t="s">
        <v>62</v>
      </c>
      <c r="C51" s="128"/>
      <c r="D51" s="129"/>
      <c r="E51" s="129"/>
      <c r="F51" s="129"/>
      <c r="G51" s="130">
        <v>0.03</v>
      </c>
      <c r="H51" s="131">
        <f t="shared" si="0"/>
        <v>29.663999999999998</v>
      </c>
    </row>
    <row r="52" spans="1:8" ht="15.75" x14ac:dyDescent="0.25">
      <c r="A52" s="1" t="s">
        <v>43</v>
      </c>
      <c r="B52" s="51" t="s">
        <v>63</v>
      </c>
      <c r="C52" s="51"/>
      <c r="D52" s="27"/>
      <c r="E52" s="27"/>
      <c r="F52" s="28"/>
      <c r="G52" s="52">
        <v>6.0000000000000001E-3</v>
      </c>
      <c r="H52" s="28">
        <f t="shared" si="0"/>
        <v>5.9327999999999994</v>
      </c>
    </row>
    <row r="53" spans="1:8" ht="15.75" x14ac:dyDescent="0.25">
      <c r="A53" s="54"/>
      <c r="B53" s="55" t="s">
        <v>45</v>
      </c>
      <c r="C53" s="55"/>
      <c r="D53" s="40"/>
      <c r="E53" s="40"/>
      <c r="F53" s="56"/>
      <c r="G53" s="57">
        <f>SUM(G45:G52)</f>
        <v>0.3680000000000001</v>
      </c>
      <c r="H53" s="58">
        <f>SUM(H45:H52)</f>
        <v>363.87839999999994</v>
      </c>
    </row>
    <row r="54" spans="1:8" ht="15.75" x14ac:dyDescent="0.25">
      <c r="A54" s="110" t="s">
        <v>64</v>
      </c>
      <c r="B54" s="273" t="s">
        <v>65</v>
      </c>
      <c r="C54" s="273"/>
      <c r="D54" s="273"/>
      <c r="E54" s="273"/>
      <c r="F54" s="273"/>
      <c r="G54" s="273"/>
      <c r="H54" s="273"/>
    </row>
    <row r="55" spans="1:8" ht="15.75" x14ac:dyDescent="0.25">
      <c r="A55" s="6" t="s">
        <v>66</v>
      </c>
      <c r="B55" s="59"/>
      <c r="C55" s="59"/>
      <c r="D55" s="60" t="s">
        <v>67</v>
      </c>
      <c r="E55" s="60" t="s">
        <v>68</v>
      </c>
      <c r="F55" s="60" t="s">
        <v>69</v>
      </c>
      <c r="G55" s="60" t="s">
        <v>70</v>
      </c>
      <c r="H55" s="6"/>
    </row>
    <row r="56" spans="1:8" ht="15.75" x14ac:dyDescent="0.25">
      <c r="A56" s="274" t="s">
        <v>4</v>
      </c>
      <c r="B56" s="6" t="s">
        <v>71</v>
      </c>
      <c r="C56" s="6"/>
      <c r="D56" s="275"/>
      <c r="E56" s="276"/>
      <c r="F56" s="277"/>
      <c r="G56" s="278"/>
      <c r="H56" s="35">
        <f>F56*E56*D56</f>
        <v>0</v>
      </c>
    </row>
    <row r="57" spans="1:8" ht="15.75" x14ac:dyDescent="0.25">
      <c r="A57" s="274"/>
      <c r="B57" s="6" t="s">
        <v>72</v>
      </c>
      <c r="C57" s="6"/>
      <c r="D57" s="275"/>
      <c r="E57" s="275"/>
      <c r="F57" s="275"/>
      <c r="G57" s="275"/>
      <c r="H57" s="35">
        <f>H27*G56</f>
        <v>0</v>
      </c>
    </row>
    <row r="58" spans="1:8" ht="15.75" x14ac:dyDescent="0.25">
      <c r="A58" s="274"/>
      <c r="B58" s="8" t="s">
        <v>73</v>
      </c>
      <c r="C58" s="8"/>
      <c r="D58" s="8"/>
      <c r="E58" s="27"/>
      <c r="F58" s="27"/>
      <c r="G58" s="61"/>
      <c r="H58" s="35">
        <f>H56-H57</f>
        <v>0</v>
      </c>
    </row>
    <row r="59" spans="1:8" ht="15.75" x14ac:dyDescent="0.25">
      <c r="A59" s="274" t="s">
        <v>7</v>
      </c>
      <c r="B59" s="6" t="s">
        <v>74</v>
      </c>
      <c r="C59" s="6"/>
      <c r="D59" s="275">
        <v>1</v>
      </c>
      <c r="E59" s="276">
        <v>1</v>
      </c>
      <c r="F59" s="277">
        <v>145.22999999999999</v>
      </c>
      <c r="G59" s="278">
        <v>0.2</v>
      </c>
      <c r="H59" s="35">
        <f>F59*E59*D59</f>
        <v>145.22999999999999</v>
      </c>
    </row>
    <row r="60" spans="1:8" ht="15.75" x14ac:dyDescent="0.25">
      <c r="A60" s="274"/>
      <c r="B60" s="6" t="s">
        <v>72</v>
      </c>
      <c r="C60" s="6"/>
      <c r="D60" s="275"/>
      <c r="E60" s="275"/>
      <c r="F60" s="275"/>
      <c r="G60" s="275"/>
      <c r="H60" s="35">
        <f>H59*G59</f>
        <v>29.045999999999999</v>
      </c>
    </row>
    <row r="61" spans="1:8" ht="15.75" x14ac:dyDescent="0.25">
      <c r="A61" s="274"/>
      <c r="B61" s="279" t="s">
        <v>75</v>
      </c>
      <c r="C61" s="279"/>
      <c r="D61" s="279"/>
      <c r="E61" s="279"/>
      <c r="F61" s="13"/>
      <c r="G61" s="13"/>
      <c r="H61" s="35">
        <f>H59-H60</f>
        <v>116.184</v>
      </c>
    </row>
    <row r="62" spans="1:8" ht="15.75" x14ac:dyDescent="0.25">
      <c r="A62" s="62" t="s">
        <v>9</v>
      </c>
      <c r="B62" s="279" t="s">
        <v>76</v>
      </c>
      <c r="C62" s="279"/>
      <c r="D62" s="279"/>
      <c r="E62" s="279"/>
      <c r="F62" s="13"/>
      <c r="G62" s="13"/>
      <c r="H62" s="35">
        <v>0</v>
      </c>
    </row>
    <row r="63" spans="1:8" ht="15.75" x14ac:dyDescent="0.25">
      <c r="A63" s="62" t="s">
        <v>17</v>
      </c>
      <c r="B63" s="117" t="s">
        <v>177</v>
      </c>
      <c r="C63" s="117"/>
      <c r="D63" s="117"/>
      <c r="E63" s="117" t="s">
        <v>163</v>
      </c>
      <c r="F63" s="13"/>
      <c r="G63" s="13"/>
      <c r="H63" s="35">
        <v>100</v>
      </c>
    </row>
    <row r="64" spans="1:8" ht="15.75" x14ac:dyDescent="0.25">
      <c r="A64" s="62" t="s">
        <v>40</v>
      </c>
      <c r="B64" s="116" t="s">
        <v>223</v>
      </c>
      <c r="C64" s="117"/>
      <c r="D64" s="117"/>
      <c r="E64" s="117"/>
      <c r="F64" s="13"/>
      <c r="G64" s="13"/>
      <c r="H64" s="35">
        <v>3.53</v>
      </c>
    </row>
    <row r="65" spans="1:13" ht="15.75" x14ac:dyDescent="0.25">
      <c r="A65" s="62" t="s">
        <v>42</v>
      </c>
      <c r="B65" s="116" t="s">
        <v>78</v>
      </c>
      <c r="C65" s="116"/>
      <c r="D65" s="116"/>
      <c r="E65" s="118">
        <v>0</v>
      </c>
      <c r="H65" s="119">
        <v>0</v>
      </c>
      <c r="J65" s="125"/>
      <c r="K65" s="13"/>
      <c r="L65" s="13"/>
      <c r="M65" s="35"/>
    </row>
    <row r="66" spans="1:13" ht="15.75" x14ac:dyDescent="0.25">
      <c r="A66" s="63"/>
      <c r="B66" s="280" t="s">
        <v>45</v>
      </c>
      <c r="C66" s="280"/>
      <c r="D66" s="280"/>
      <c r="E66" s="280"/>
      <c r="F66" s="64"/>
      <c r="G66" s="64"/>
      <c r="H66" s="65">
        <f>H58+H61+H62+H63+H65+H64</f>
        <v>219.714</v>
      </c>
    </row>
    <row r="67" spans="1:13" ht="15.75" x14ac:dyDescent="0.25">
      <c r="A67" s="273" t="s">
        <v>79</v>
      </c>
      <c r="B67" s="273"/>
      <c r="C67" s="273"/>
      <c r="D67" s="273"/>
      <c r="E67" s="273"/>
      <c r="F67" s="273"/>
      <c r="G67" s="273"/>
      <c r="H67" s="273"/>
    </row>
    <row r="68" spans="1:13" ht="15.75" x14ac:dyDescent="0.25">
      <c r="A68" s="62" t="s">
        <v>47</v>
      </c>
      <c r="B68" s="8" t="s">
        <v>80</v>
      </c>
      <c r="C68" s="8"/>
      <c r="D68" s="66"/>
      <c r="E68" s="66"/>
      <c r="F68" s="13"/>
      <c r="G68" s="13"/>
      <c r="H68" s="67">
        <f>H43</f>
        <v>276.35219711999997</v>
      </c>
    </row>
    <row r="69" spans="1:13" ht="15.75" x14ac:dyDescent="0.25">
      <c r="A69" s="62" t="s">
        <v>52</v>
      </c>
      <c r="B69" s="8" t="s">
        <v>81</v>
      </c>
      <c r="C69" s="8"/>
      <c r="D69" s="66"/>
      <c r="E69" s="66"/>
      <c r="F69" s="13"/>
      <c r="G69" s="13"/>
      <c r="H69" s="67">
        <f>H53</f>
        <v>363.87839999999994</v>
      </c>
    </row>
    <row r="70" spans="1:13" ht="15.75" x14ac:dyDescent="0.25">
      <c r="A70" s="62" t="s">
        <v>64</v>
      </c>
      <c r="B70" s="8" t="s">
        <v>82</v>
      </c>
      <c r="C70" s="8"/>
      <c r="D70" s="66"/>
      <c r="E70" s="66"/>
      <c r="F70" s="13"/>
      <c r="G70" s="13"/>
      <c r="H70" s="67">
        <f>H66</f>
        <v>219.714</v>
      </c>
    </row>
    <row r="71" spans="1:13" ht="15.75" x14ac:dyDescent="0.25">
      <c r="A71" s="63"/>
      <c r="B71" s="126" t="s">
        <v>45</v>
      </c>
      <c r="C71" s="126"/>
      <c r="D71" s="126"/>
      <c r="E71" s="126"/>
      <c r="F71" s="64"/>
      <c r="G71" s="64"/>
      <c r="H71" s="65">
        <f>SUM(H68:H70)</f>
        <v>859.9445971199998</v>
      </c>
    </row>
    <row r="72" spans="1:13" ht="15.75" x14ac:dyDescent="0.25">
      <c r="A72" s="68">
        <v>3</v>
      </c>
      <c r="B72" s="271" t="s">
        <v>83</v>
      </c>
      <c r="C72" s="271"/>
      <c r="D72" s="271"/>
      <c r="E72" s="271"/>
      <c r="F72" s="271"/>
      <c r="G72" s="271"/>
      <c r="H72" s="271"/>
    </row>
    <row r="73" spans="1:13" ht="15.75" x14ac:dyDescent="0.25">
      <c r="A73" s="1" t="s">
        <v>4</v>
      </c>
      <c r="B73" s="48" t="s">
        <v>84</v>
      </c>
      <c r="C73" s="48"/>
      <c r="D73" s="69"/>
      <c r="E73" s="69"/>
      <c r="F73" s="69"/>
      <c r="G73" s="45">
        <v>4.1999999999999997E-3</v>
      </c>
      <c r="H73" s="28">
        <f>SUM($H$37*G73)</f>
        <v>4.1529599999999993</v>
      </c>
      <c r="I73">
        <f>(1/12)*0.9</f>
        <v>7.4999999999999997E-2</v>
      </c>
    </row>
    <row r="74" spans="1:13" ht="15.75" x14ac:dyDescent="0.25">
      <c r="A74" s="1" t="s">
        <v>7</v>
      </c>
      <c r="B74" s="48" t="s">
        <v>85</v>
      </c>
      <c r="C74" s="48"/>
      <c r="D74" s="27"/>
      <c r="E74" s="27"/>
      <c r="F74" s="28"/>
      <c r="G74" s="45">
        <f>G73*0.08</f>
        <v>3.3599999999999998E-4</v>
      </c>
      <c r="H74" s="28">
        <f>SUM($H$37*G74)</f>
        <v>0.33223679999999994</v>
      </c>
      <c r="I74" s="115"/>
    </row>
    <row r="75" spans="1:13" ht="15.75" x14ac:dyDescent="0.25">
      <c r="A75" s="1" t="s">
        <v>9</v>
      </c>
      <c r="B75" s="48" t="s">
        <v>86</v>
      </c>
      <c r="C75" s="48"/>
      <c r="D75" s="70"/>
      <c r="E75" s="70"/>
      <c r="F75" s="70"/>
      <c r="G75" s="71">
        <v>2.0000000000000001E-4</v>
      </c>
      <c r="H75" s="72">
        <f>(ROUND(SUM($H$37*G75),2))</f>
        <v>0.2</v>
      </c>
      <c r="J75" s="122"/>
    </row>
    <row r="76" spans="1:13" ht="15.75" x14ac:dyDescent="0.25">
      <c r="A76" s="1" t="s">
        <v>17</v>
      </c>
      <c r="B76" s="27" t="s">
        <v>87</v>
      </c>
      <c r="C76" s="27"/>
      <c r="D76" s="69"/>
      <c r="E76" s="69"/>
      <c r="F76" s="69"/>
      <c r="G76" s="45">
        <v>1.9400000000000001E-2</v>
      </c>
      <c r="H76" s="28">
        <f>SUM($H$37*G76)</f>
        <v>19.18272</v>
      </c>
    </row>
    <row r="77" spans="1:13" ht="15.75" x14ac:dyDescent="0.25">
      <c r="A77" s="1" t="s">
        <v>40</v>
      </c>
      <c r="B77" s="48" t="s">
        <v>225</v>
      </c>
      <c r="C77" s="48"/>
      <c r="D77" s="27"/>
      <c r="E77" s="27"/>
      <c r="F77" s="28"/>
      <c r="G77" s="45">
        <f>G76*G53</f>
        <v>7.1392000000000027E-3</v>
      </c>
      <c r="H77" s="28">
        <f>SUM($H$37*G77)</f>
        <v>7.0592409600000021</v>
      </c>
    </row>
    <row r="78" spans="1:13" ht="15.75" x14ac:dyDescent="0.25">
      <c r="A78" s="1" t="s">
        <v>42</v>
      </c>
      <c r="B78" s="27" t="s">
        <v>89</v>
      </c>
      <c r="C78" s="27"/>
      <c r="D78" s="70"/>
      <c r="E78" s="70"/>
      <c r="F78" s="70"/>
      <c r="G78" s="52">
        <v>1E-4</v>
      </c>
      <c r="H78" s="28">
        <f>SUM($H$37*G78)</f>
        <v>9.8879999999999996E-2</v>
      </c>
    </row>
    <row r="79" spans="1:13" ht="15.75" x14ac:dyDescent="0.25">
      <c r="A79" s="73"/>
      <c r="B79" s="55" t="s">
        <v>45</v>
      </c>
      <c r="C79" s="55"/>
      <c r="D79" s="41"/>
      <c r="E79" s="41"/>
      <c r="F79" s="74"/>
      <c r="G79" s="57">
        <f>SUM(G73:G78)</f>
        <v>3.1375200000000006E-2</v>
      </c>
      <c r="H79" s="58">
        <f>SUM(H73:H78)</f>
        <v>31.026037760000001</v>
      </c>
    </row>
    <row r="80" spans="1:13" ht="15.75" x14ac:dyDescent="0.25">
      <c r="A80" s="44">
        <v>4</v>
      </c>
      <c r="B80" s="281" t="s">
        <v>90</v>
      </c>
      <c r="C80" s="281"/>
      <c r="D80" s="281"/>
      <c r="E80" s="281"/>
      <c r="F80" s="281"/>
      <c r="G80" s="281"/>
      <c r="H80" s="281"/>
    </row>
    <row r="81" spans="1:10" ht="15.75" x14ac:dyDescent="0.25">
      <c r="A81" s="75" t="s">
        <v>91</v>
      </c>
      <c r="B81" s="273" t="s">
        <v>236</v>
      </c>
      <c r="C81" s="273"/>
      <c r="D81" s="273"/>
      <c r="E81" s="273"/>
      <c r="F81" s="273"/>
      <c r="G81" s="273"/>
      <c r="H81" s="273"/>
    </row>
    <row r="82" spans="1:10" ht="15.75" x14ac:dyDescent="0.25">
      <c r="A82" s="12" t="s">
        <v>4</v>
      </c>
      <c r="B82" s="51" t="s">
        <v>226</v>
      </c>
      <c r="C82" s="51"/>
      <c r="D82" s="53"/>
      <c r="E82" s="53"/>
      <c r="F82" s="53"/>
      <c r="G82" s="45">
        <f>(G40+G41)/12</f>
        <v>1.7024999999999998E-2</v>
      </c>
      <c r="H82" s="28"/>
    </row>
    <row r="83" spans="1:10" ht="15.75" x14ac:dyDescent="0.25">
      <c r="A83" s="123" t="s">
        <v>7</v>
      </c>
      <c r="B83" s="51" t="s">
        <v>227</v>
      </c>
      <c r="C83" s="272" t="s">
        <v>95</v>
      </c>
      <c r="D83" s="76">
        <v>1</v>
      </c>
      <c r="E83" s="272" t="s">
        <v>96</v>
      </c>
      <c r="F83" s="77">
        <v>1</v>
      </c>
      <c r="G83" s="45">
        <f t="shared" ref="G83:G88" si="1">D83/360*F83</f>
        <v>2.7777777777777779E-3</v>
      </c>
      <c r="H83" s="28">
        <f>SUM(H$37*G83)</f>
        <v>2.7466666666666666</v>
      </c>
    </row>
    <row r="84" spans="1:10" ht="15.75" x14ac:dyDescent="0.25">
      <c r="A84" s="12" t="s">
        <v>9</v>
      </c>
      <c r="B84" s="51" t="s">
        <v>228</v>
      </c>
      <c r="C84" s="272"/>
      <c r="D84" s="76">
        <v>20</v>
      </c>
      <c r="E84" s="272"/>
      <c r="F84" s="77">
        <v>1.4999999999999999E-2</v>
      </c>
      <c r="G84" s="45">
        <f t="shared" si="1"/>
        <v>8.3333333333333328E-4</v>
      </c>
      <c r="H84" s="28">
        <f>SUM(H$37*G84)</f>
        <v>0.82399999999999995</v>
      </c>
    </row>
    <row r="85" spans="1:10" ht="15.75" x14ac:dyDescent="0.25">
      <c r="A85" s="12" t="s">
        <v>17</v>
      </c>
      <c r="B85" s="51" t="s">
        <v>229</v>
      </c>
      <c r="C85" s="272"/>
      <c r="D85" s="76">
        <v>15</v>
      </c>
      <c r="E85" s="272"/>
      <c r="F85" s="78">
        <v>1.3299999999999999E-2</v>
      </c>
      <c r="G85" s="45">
        <f t="shared" si="1"/>
        <v>5.5416666666666657E-4</v>
      </c>
      <c r="H85" s="28">
        <f>SUM(H$37*G85)</f>
        <v>0.54795999999999989</v>
      </c>
    </row>
    <row r="86" spans="1:10" ht="15.75" x14ac:dyDescent="0.25">
      <c r="A86" s="12" t="s">
        <v>40</v>
      </c>
      <c r="B86" s="51" t="s">
        <v>230</v>
      </c>
      <c r="C86" s="272"/>
      <c r="D86" s="76">
        <v>180</v>
      </c>
      <c r="E86" s="272"/>
      <c r="F86" s="77">
        <v>1.8599999999999998E-2</v>
      </c>
      <c r="G86" s="45">
        <f t="shared" si="1"/>
        <v>9.2999999999999992E-3</v>
      </c>
      <c r="H86" s="28">
        <f>SUM(H$37*G86)</f>
        <v>9.1958399999999987</v>
      </c>
    </row>
    <row r="87" spans="1:10" ht="15.75" x14ac:dyDescent="0.25">
      <c r="A87" s="12" t="s">
        <v>42</v>
      </c>
      <c r="B87" s="51" t="s">
        <v>231</v>
      </c>
      <c r="C87" s="272"/>
      <c r="D87" s="79">
        <v>5</v>
      </c>
      <c r="E87" s="272"/>
      <c r="F87" s="80">
        <v>1</v>
      </c>
      <c r="G87" s="45">
        <f t="shared" si="1"/>
        <v>1.3888888888888888E-2</v>
      </c>
      <c r="H87" s="81">
        <f>SUM(H$37*G87)</f>
        <v>13.733333333333333</v>
      </c>
    </row>
    <row r="88" spans="1:10" ht="15.75" x14ac:dyDescent="0.25">
      <c r="A88" s="12" t="s">
        <v>61</v>
      </c>
      <c r="B88" s="51" t="s">
        <v>101</v>
      </c>
      <c r="C88" s="272"/>
      <c r="D88" s="79"/>
      <c r="E88" s="272"/>
      <c r="F88" s="82"/>
      <c r="G88" s="45">
        <f t="shared" si="1"/>
        <v>0</v>
      </c>
      <c r="H88" s="81"/>
    </row>
    <row r="89" spans="1:10" ht="15.75" x14ac:dyDescent="0.25">
      <c r="A89" s="19"/>
      <c r="B89" s="6" t="s">
        <v>102</v>
      </c>
      <c r="C89" s="6"/>
      <c r="D89" s="27"/>
      <c r="E89" s="27"/>
      <c r="F89" s="28"/>
      <c r="G89" s="45">
        <f>SUM(G82:G88)</f>
        <v>4.4379166666666664E-2</v>
      </c>
      <c r="H89" s="28">
        <f>SUM(H82:H88)</f>
        <v>27.047799999999995</v>
      </c>
      <c r="I89" s="121"/>
    </row>
    <row r="90" spans="1:10" ht="15.75" x14ac:dyDescent="0.25">
      <c r="A90" s="12" t="s">
        <v>42</v>
      </c>
      <c r="B90" s="51" t="s">
        <v>103</v>
      </c>
      <c r="C90" s="51"/>
      <c r="D90" s="27"/>
      <c r="E90" s="27"/>
      <c r="F90" s="28"/>
      <c r="G90" s="45">
        <f>G89*G53</f>
        <v>1.6331533333333335E-2</v>
      </c>
      <c r="H90" s="28">
        <f>G53*H89</f>
        <v>9.9535904000000013</v>
      </c>
      <c r="I90" s="115"/>
      <c r="J90" s="122"/>
    </row>
    <row r="91" spans="1:10" ht="15.75" x14ac:dyDescent="0.25">
      <c r="A91" s="73"/>
      <c r="B91" s="55" t="s">
        <v>45</v>
      </c>
      <c r="C91" s="55"/>
      <c r="D91" s="41"/>
      <c r="E91" s="41"/>
      <c r="F91" s="74"/>
      <c r="G91" s="57">
        <f>G90+G89</f>
        <v>6.0710699999999999E-2</v>
      </c>
      <c r="H91" s="58">
        <f>SUM(H89:H90)</f>
        <v>37.001390399999998</v>
      </c>
    </row>
    <row r="92" spans="1:10" ht="15.75" x14ac:dyDescent="0.25">
      <c r="A92" s="75" t="s">
        <v>104</v>
      </c>
      <c r="B92" s="273" t="s">
        <v>232</v>
      </c>
      <c r="C92" s="273"/>
      <c r="D92" s="273"/>
      <c r="E92" s="273"/>
      <c r="F92" s="273"/>
      <c r="G92" s="273"/>
      <c r="H92" s="273"/>
    </row>
    <row r="93" spans="1:10" ht="15.75" x14ac:dyDescent="0.25">
      <c r="A93" s="12" t="s">
        <v>4</v>
      </c>
      <c r="B93" s="51" t="s">
        <v>234</v>
      </c>
      <c r="C93" s="51"/>
      <c r="D93" s="53"/>
      <c r="E93" s="53"/>
      <c r="F93" s="53"/>
      <c r="G93" s="52">
        <v>0</v>
      </c>
      <c r="H93" s="28">
        <f>SUM(H$37*G93)</f>
        <v>0</v>
      </c>
    </row>
    <row r="94" spans="1:10" ht="15.75" x14ac:dyDescent="0.25">
      <c r="A94" s="12" t="s">
        <v>7</v>
      </c>
      <c r="B94" s="51" t="s">
        <v>107</v>
      </c>
      <c r="C94" s="51"/>
      <c r="D94" s="53"/>
      <c r="E94" s="53"/>
      <c r="F94" s="53"/>
      <c r="G94" s="45">
        <f>G93*G53</f>
        <v>0</v>
      </c>
      <c r="H94" s="28">
        <f>SUM($H$37*G94)</f>
        <v>0</v>
      </c>
    </row>
    <row r="95" spans="1:10" ht="15.75" x14ac:dyDescent="0.25">
      <c r="A95" s="73"/>
      <c r="B95" s="55" t="s">
        <v>45</v>
      </c>
      <c r="C95" s="55"/>
      <c r="D95" s="41"/>
      <c r="E95" s="41"/>
      <c r="F95" s="74"/>
      <c r="G95" s="57">
        <f>G94+G93</f>
        <v>0</v>
      </c>
      <c r="H95" s="58">
        <f>SUM(H93:H94)</f>
        <v>0</v>
      </c>
    </row>
    <row r="96" spans="1:10" ht="15.75" x14ac:dyDescent="0.25">
      <c r="A96" s="273" t="s">
        <v>108</v>
      </c>
      <c r="B96" s="273"/>
      <c r="C96" s="273"/>
      <c r="D96" s="273"/>
      <c r="E96" s="273"/>
      <c r="F96" s="273"/>
      <c r="G96" s="273"/>
      <c r="H96" s="273"/>
    </row>
    <row r="97" spans="1:10" ht="15.75" x14ac:dyDescent="0.25">
      <c r="A97" s="12" t="s">
        <v>91</v>
      </c>
      <c r="B97" s="51" t="s">
        <v>235</v>
      </c>
      <c r="C97" s="51"/>
      <c r="D97" s="53"/>
      <c r="E97" s="53"/>
      <c r="F97" s="53"/>
      <c r="G97" s="45">
        <f>G91</f>
        <v>6.0710699999999999E-2</v>
      </c>
      <c r="H97" s="28">
        <f>H91</f>
        <v>37.001390399999998</v>
      </c>
    </row>
    <row r="98" spans="1:10" ht="15.75" x14ac:dyDescent="0.25">
      <c r="A98" s="12" t="s">
        <v>104</v>
      </c>
      <c r="B98" s="51" t="s">
        <v>233</v>
      </c>
      <c r="C98" s="51"/>
      <c r="D98" s="53"/>
      <c r="E98" s="53"/>
      <c r="F98" s="53"/>
      <c r="G98" s="45">
        <f>G95</f>
        <v>0</v>
      </c>
      <c r="H98" s="28">
        <f>H95</f>
        <v>0</v>
      </c>
    </row>
    <row r="99" spans="1:10" ht="15.75" x14ac:dyDescent="0.25">
      <c r="A99" s="73"/>
      <c r="B99" s="55" t="s">
        <v>45</v>
      </c>
      <c r="C99" s="55"/>
      <c r="D99" s="41"/>
      <c r="E99" s="41"/>
      <c r="F99" s="74"/>
      <c r="G99" s="57">
        <f>G95+G91</f>
        <v>6.0710699999999999E-2</v>
      </c>
      <c r="H99" s="58">
        <f>SUM(H97:H98)</f>
        <v>37.001390399999998</v>
      </c>
    </row>
    <row r="100" spans="1:10" ht="15.75" x14ac:dyDescent="0.25">
      <c r="A100" s="83">
        <v>5</v>
      </c>
      <c r="B100" s="273" t="s">
        <v>110</v>
      </c>
      <c r="C100" s="273"/>
      <c r="D100" s="273"/>
      <c r="E100" s="273"/>
      <c r="F100" s="273"/>
      <c r="G100" s="273"/>
      <c r="H100" s="273"/>
    </row>
    <row r="101" spans="1:10" ht="15.75" x14ac:dyDescent="0.25">
      <c r="A101" s="12" t="s">
        <v>4</v>
      </c>
      <c r="B101" s="13" t="s">
        <v>111</v>
      </c>
      <c r="C101" s="13"/>
      <c r="D101" s="84"/>
      <c r="E101" s="27"/>
      <c r="F101" s="85"/>
      <c r="G101" s="85"/>
      <c r="H101" s="85">
        <v>23.84</v>
      </c>
    </row>
    <row r="102" spans="1:10" ht="15.75" x14ac:dyDescent="0.25">
      <c r="A102" s="12" t="s">
        <v>7</v>
      </c>
      <c r="B102" s="13" t="s">
        <v>112</v>
      </c>
      <c r="C102" s="13"/>
      <c r="D102" s="84"/>
      <c r="E102" s="27"/>
      <c r="F102" s="85"/>
      <c r="G102" s="85"/>
      <c r="H102" s="85"/>
    </row>
    <row r="103" spans="1:10" ht="15.75" x14ac:dyDescent="0.25">
      <c r="A103" s="12" t="s">
        <v>9</v>
      </c>
      <c r="B103" s="13" t="s">
        <v>113</v>
      </c>
      <c r="C103" s="13"/>
      <c r="D103" s="84"/>
      <c r="E103" s="27"/>
      <c r="F103" s="85"/>
      <c r="G103" s="85"/>
      <c r="H103" s="85">
        <v>5.47</v>
      </c>
    </row>
    <row r="104" spans="1:10" ht="15.75" x14ac:dyDescent="0.25">
      <c r="A104" s="12" t="s">
        <v>17</v>
      </c>
      <c r="B104" s="13" t="s">
        <v>164</v>
      </c>
      <c r="C104" s="13"/>
      <c r="D104" s="84"/>
      <c r="E104" s="27"/>
      <c r="F104" s="85"/>
      <c r="G104" s="85"/>
      <c r="H104" s="85">
        <v>16.37</v>
      </c>
    </row>
    <row r="105" spans="1:10" ht="15.75" x14ac:dyDescent="0.25">
      <c r="A105" s="12" t="s">
        <v>40</v>
      </c>
      <c r="B105" s="13" t="s">
        <v>101</v>
      </c>
      <c r="C105" s="13"/>
      <c r="D105" s="84"/>
      <c r="E105" s="27"/>
      <c r="F105" s="85"/>
      <c r="G105" s="85"/>
      <c r="H105" s="85">
        <v>0</v>
      </c>
    </row>
    <row r="106" spans="1:10" ht="15.75" x14ac:dyDescent="0.25">
      <c r="A106" s="73"/>
      <c r="B106" s="55" t="s">
        <v>45</v>
      </c>
      <c r="C106" s="55"/>
      <c r="D106" s="41"/>
      <c r="E106" s="41"/>
      <c r="F106" s="74"/>
      <c r="G106" s="57"/>
      <c r="H106" s="58">
        <f>SUM(H101:H105)</f>
        <v>45.68</v>
      </c>
    </row>
    <row r="107" spans="1:10" ht="15.75" x14ac:dyDescent="0.25">
      <c r="A107" s="83">
        <v>6</v>
      </c>
      <c r="B107" s="273" t="s">
        <v>114</v>
      </c>
      <c r="C107" s="273"/>
      <c r="D107" s="273"/>
      <c r="E107" s="273"/>
      <c r="F107" s="273"/>
      <c r="G107" s="273"/>
      <c r="H107" s="273"/>
    </row>
    <row r="108" spans="1:10" ht="15.75" x14ac:dyDescent="0.25">
      <c r="A108" s="86" t="s">
        <v>4</v>
      </c>
      <c r="B108" s="27"/>
      <c r="C108" s="27"/>
      <c r="D108" s="27"/>
      <c r="E108" s="27"/>
      <c r="F108" s="27" t="s">
        <v>115</v>
      </c>
      <c r="G108" s="52">
        <v>0.01</v>
      </c>
      <c r="H108" s="28">
        <f>G108*H123</f>
        <v>19.6245202528</v>
      </c>
    </row>
    <row r="109" spans="1:10" ht="15.75" x14ac:dyDescent="0.25">
      <c r="A109" s="86" t="s">
        <v>7</v>
      </c>
      <c r="B109" s="27"/>
      <c r="C109" s="27"/>
      <c r="D109" s="27"/>
      <c r="E109" s="27"/>
      <c r="F109" s="12" t="s">
        <v>116</v>
      </c>
      <c r="G109" s="52">
        <v>0.01</v>
      </c>
      <c r="H109" s="28">
        <f>SUM(H108+H123)*$G$109</f>
        <v>19.820765455327997</v>
      </c>
    </row>
    <row r="110" spans="1:10" ht="15.75" x14ac:dyDescent="0.25">
      <c r="A110" s="86" t="s">
        <v>9</v>
      </c>
      <c r="B110" s="27"/>
      <c r="C110" s="27"/>
      <c r="D110" s="27"/>
      <c r="E110" s="27"/>
      <c r="F110" s="12" t="s">
        <v>117</v>
      </c>
      <c r="G110" s="87">
        <f>SUM(G111:G115)</f>
        <v>8.6499999999999994E-2</v>
      </c>
      <c r="H110" s="28">
        <f>H112+H113+H115</f>
        <v>189.56115752651675</v>
      </c>
    </row>
    <row r="111" spans="1:10" ht="15.75" x14ac:dyDescent="0.25">
      <c r="A111" s="86" t="s">
        <v>118</v>
      </c>
      <c r="B111" s="27"/>
      <c r="C111" s="27"/>
      <c r="D111" s="27"/>
      <c r="E111" s="27"/>
      <c r="F111" s="88" t="s">
        <v>119</v>
      </c>
      <c r="G111" s="45">
        <v>0</v>
      </c>
      <c r="H111" s="28"/>
    </row>
    <row r="112" spans="1:10" ht="15.75" x14ac:dyDescent="0.25">
      <c r="A112" s="86" t="s">
        <v>120</v>
      </c>
      <c r="B112" s="27"/>
      <c r="C112" s="27"/>
      <c r="D112" s="27"/>
      <c r="E112" s="27"/>
      <c r="F112" s="88" t="s">
        <v>121</v>
      </c>
      <c r="G112" s="52">
        <v>6.4999999999999997E-3</v>
      </c>
      <c r="H112" s="28">
        <f>((H108+H109+H123)/0.9135)*G112</f>
        <v>14.24448004534519</v>
      </c>
      <c r="J112" s="120"/>
    </row>
    <row r="113" spans="1:13" ht="15.75" x14ac:dyDescent="0.25">
      <c r="A113" s="86" t="s">
        <v>122</v>
      </c>
      <c r="B113" s="27"/>
      <c r="C113" s="27"/>
      <c r="D113" s="27"/>
      <c r="E113" s="27"/>
      <c r="F113" s="88" t="s">
        <v>123</v>
      </c>
      <c r="G113" s="52">
        <v>0.03</v>
      </c>
      <c r="H113" s="28">
        <f>((H108+H109+H123)/0.9135)*G113</f>
        <v>65.743754055439339</v>
      </c>
    </row>
    <row r="114" spans="1:13" ht="15.75" x14ac:dyDescent="0.25">
      <c r="A114" s="86" t="s">
        <v>124</v>
      </c>
      <c r="B114" s="27"/>
      <c r="C114" s="27"/>
      <c r="D114" s="27"/>
      <c r="E114" s="27"/>
      <c r="F114" s="88" t="s">
        <v>125</v>
      </c>
      <c r="G114" s="45">
        <v>0</v>
      </c>
      <c r="H114" s="28"/>
    </row>
    <row r="115" spans="1:13" ht="15.75" x14ac:dyDescent="0.25">
      <c r="A115" s="86" t="s">
        <v>126</v>
      </c>
      <c r="B115" s="27"/>
      <c r="C115" s="27"/>
      <c r="D115" s="27"/>
      <c r="E115" s="27"/>
      <c r="F115" s="88" t="s">
        <v>127</v>
      </c>
      <c r="G115" s="45">
        <v>0.05</v>
      </c>
      <c r="H115" s="28">
        <f>((H108+H109+H123)/0.9135)*G115</f>
        <v>109.57292342573224</v>
      </c>
    </row>
    <row r="116" spans="1:13" ht="15.75" x14ac:dyDescent="0.25">
      <c r="A116" s="73"/>
      <c r="B116" s="55" t="s">
        <v>45</v>
      </c>
      <c r="C116" s="55"/>
      <c r="D116" s="41"/>
      <c r="E116" s="41"/>
      <c r="F116" s="74"/>
      <c r="G116" s="57">
        <f>G110+G109+G108</f>
        <v>0.10649999999999998</v>
      </c>
      <c r="H116" s="58">
        <f>H108+H109+H110</f>
        <v>229.00644323464473</v>
      </c>
    </row>
    <row r="117" spans="1:13" ht="15.75" x14ac:dyDescent="0.25">
      <c r="A117" s="89"/>
      <c r="B117" s="271" t="s">
        <v>128</v>
      </c>
      <c r="C117" s="271"/>
      <c r="D117" s="271"/>
      <c r="E117" s="271"/>
      <c r="F117" s="271"/>
      <c r="G117" s="271"/>
      <c r="H117" s="271"/>
    </row>
    <row r="118" spans="1:13" ht="15.75" x14ac:dyDescent="0.25">
      <c r="A118" s="90" t="s">
        <v>4</v>
      </c>
      <c r="B118" s="27" t="s">
        <v>30</v>
      </c>
      <c r="C118" s="27"/>
      <c r="D118" s="27"/>
      <c r="E118" s="27"/>
      <c r="F118" s="28"/>
      <c r="G118" s="45">
        <f>SUM(H118/H$125)</f>
        <v>0.45120636060705349</v>
      </c>
      <c r="H118" s="28">
        <f>H37</f>
        <v>988.8</v>
      </c>
    </row>
    <row r="119" spans="1:13" ht="15.75" x14ac:dyDescent="0.25">
      <c r="A119" s="90" t="s">
        <v>7</v>
      </c>
      <c r="B119" s="27" t="s">
        <v>129</v>
      </c>
      <c r="C119" s="27"/>
      <c r="D119" s="27"/>
      <c r="E119" s="27"/>
      <c r="F119" s="28"/>
      <c r="G119" s="45">
        <f>SUM(H119/H$125)</f>
        <v>0.39240743526518407</v>
      </c>
      <c r="H119" s="28">
        <f>H71</f>
        <v>859.9445971199998</v>
      </c>
    </row>
    <row r="120" spans="1:13" ht="15.75" x14ac:dyDescent="0.25">
      <c r="A120" s="90" t="s">
        <v>9</v>
      </c>
      <c r="B120" s="27" t="s">
        <v>130</v>
      </c>
      <c r="C120" s="27"/>
      <c r="D120" s="27"/>
      <c r="E120" s="27"/>
      <c r="F120" s="28"/>
      <c r="G120" s="45">
        <f>SUM(H120/H$125)</f>
        <v>1.4157711955649898E-2</v>
      </c>
      <c r="H120" s="28">
        <f>H79</f>
        <v>31.026037760000001</v>
      </c>
    </row>
    <row r="121" spans="1:13" ht="15.75" x14ac:dyDescent="0.25">
      <c r="A121" s="90" t="s">
        <v>17</v>
      </c>
      <c r="B121" s="27" t="s">
        <v>131</v>
      </c>
      <c r="C121" s="27"/>
      <c r="D121" s="27"/>
      <c r="E121" s="27"/>
      <c r="F121" s="28"/>
      <c r="G121" s="45">
        <f>SUM(H121/H$125)</f>
        <v>1.6884367617096246E-2</v>
      </c>
      <c r="H121" s="28">
        <f>H99</f>
        <v>37.001390399999998</v>
      </c>
    </row>
    <row r="122" spans="1:13" ht="15.75" x14ac:dyDescent="0.25">
      <c r="A122" s="90" t="s">
        <v>40</v>
      </c>
      <c r="B122" s="27" t="s">
        <v>110</v>
      </c>
      <c r="C122" s="27"/>
      <c r="D122" s="27"/>
      <c r="E122" s="27"/>
      <c r="F122" s="28"/>
      <c r="G122" s="45">
        <f>H122/H125</f>
        <v>2.0844565688238476E-2</v>
      </c>
      <c r="H122" s="28">
        <f>H106</f>
        <v>45.68</v>
      </c>
    </row>
    <row r="123" spans="1:13" ht="15.75" x14ac:dyDescent="0.25">
      <c r="A123" s="90"/>
      <c r="B123" s="27" t="s">
        <v>132</v>
      </c>
      <c r="C123" s="27"/>
      <c r="D123" s="27"/>
      <c r="E123" s="27"/>
      <c r="F123" s="28"/>
      <c r="G123" s="45">
        <f>SUM(G118:G122)</f>
        <v>0.89550044113322214</v>
      </c>
      <c r="H123" s="28">
        <f>SUM(H118:H122)</f>
        <v>1962.4520252799998</v>
      </c>
      <c r="I123" s="121"/>
      <c r="J123" s="115"/>
    </row>
    <row r="124" spans="1:13" ht="15.75" x14ac:dyDescent="0.25">
      <c r="A124" s="90" t="s">
        <v>40</v>
      </c>
      <c r="B124" s="27" t="s">
        <v>133</v>
      </c>
      <c r="C124" s="27"/>
      <c r="D124" s="27"/>
      <c r="E124" s="27"/>
      <c r="F124" s="28"/>
      <c r="G124" s="45">
        <f>SUM(H124/H$125)</f>
        <v>0.10449955886677775</v>
      </c>
      <c r="H124" s="28">
        <f>H108+H109+H110</f>
        <v>229.00644323464473</v>
      </c>
    </row>
    <row r="125" spans="1:13" ht="15.75" x14ac:dyDescent="0.25">
      <c r="A125" s="55"/>
      <c r="B125" s="55" t="s">
        <v>134</v>
      </c>
      <c r="C125" s="55"/>
      <c r="D125" s="55"/>
      <c r="E125" s="55"/>
      <c r="F125" s="55"/>
      <c r="G125" s="55">
        <f>SUM(G123+G124)</f>
        <v>0.99999999999999989</v>
      </c>
      <c r="H125" s="91">
        <f>H124+H123</f>
        <v>2191.4584685146447</v>
      </c>
      <c r="I125" s="121">
        <f>H123+H124</f>
        <v>2191.4584685146447</v>
      </c>
      <c r="J125" s="121">
        <f>H123+H108+H109</f>
        <v>2001.8973109881279</v>
      </c>
      <c r="L125">
        <v>2436</v>
      </c>
      <c r="M125">
        <v>2225.36</v>
      </c>
    </row>
    <row r="126" spans="1:13" ht="15.75" x14ac:dyDescent="0.25">
      <c r="A126" s="92"/>
      <c r="B126" s="271" t="s">
        <v>135</v>
      </c>
      <c r="C126" s="271"/>
      <c r="D126" s="271"/>
      <c r="E126" s="271"/>
      <c r="F126" s="271"/>
      <c r="G126" s="271"/>
      <c r="H126" s="271"/>
      <c r="J126">
        <f>J125/0.9135</f>
        <v>2191.4584685146447</v>
      </c>
    </row>
    <row r="127" spans="1:13" ht="47.25" x14ac:dyDescent="0.25">
      <c r="A127" s="27"/>
      <c r="B127" s="16" t="s">
        <v>20</v>
      </c>
      <c r="C127" s="16"/>
      <c r="D127" s="93" t="s">
        <v>136</v>
      </c>
      <c r="E127" s="93" t="s">
        <v>137</v>
      </c>
      <c r="F127" s="94" t="s">
        <v>138</v>
      </c>
      <c r="G127" s="93" t="s">
        <v>139</v>
      </c>
      <c r="H127" s="95" t="s">
        <v>140</v>
      </c>
    </row>
    <row r="128" spans="1:13"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2191.4584685146447</v>
      </c>
      <c r="E129" s="100">
        <v>10</v>
      </c>
      <c r="F129" s="99">
        <f>D129*E129</f>
        <v>21914.584685146445</v>
      </c>
      <c r="G129" s="101">
        <v>10</v>
      </c>
      <c r="H129" s="28">
        <f>E129*D129</f>
        <v>21914.584685146445</v>
      </c>
    </row>
    <row r="130" spans="1:8" ht="15.75" x14ac:dyDescent="0.25">
      <c r="A130" s="27"/>
      <c r="B130" s="102" t="s">
        <v>147</v>
      </c>
      <c r="C130" s="102"/>
      <c r="D130" s="103"/>
      <c r="E130" s="103"/>
      <c r="F130" s="103"/>
      <c r="G130" s="103"/>
      <c r="H130" s="104">
        <f>SUM(H129)</f>
        <v>21914.584685146445</v>
      </c>
    </row>
    <row r="131" spans="1:8" ht="15.75" x14ac:dyDescent="0.25">
      <c r="A131" s="27"/>
      <c r="B131" s="16"/>
      <c r="C131" s="16"/>
      <c r="D131" s="105"/>
      <c r="E131" s="16"/>
      <c r="F131" s="16"/>
      <c r="G131" s="16"/>
      <c r="H131" s="16"/>
    </row>
    <row r="132" spans="1:8" ht="15.75" x14ac:dyDescent="0.25">
      <c r="A132" s="83"/>
      <c r="B132" s="271" t="s">
        <v>148</v>
      </c>
      <c r="C132" s="271"/>
      <c r="D132" s="271"/>
      <c r="E132" s="271"/>
      <c r="F132" s="271"/>
      <c r="G132" s="271"/>
      <c r="H132" s="271"/>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2191.4584685146447</v>
      </c>
    </row>
    <row r="135" spans="1:8" ht="15.75" x14ac:dyDescent="0.25">
      <c r="A135" s="108" t="s">
        <v>7</v>
      </c>
      <c r="B135" s="109" t="s">
        <v>152</v>
      </c>
      <c r="C135" s="109"/>
      <c r="D135" s="109"/>
      <c r="E135" s="13"/>
      <c r="F135" s="13"/>
      <c r="G135" s="13"/>
      <c r="H135" s="107">
        <f>H130</f>
        <v>21914.584685146445</v>
      </c>
    </row>
    <row r="136" spans="1:8" ht="15.75" x14ac:dyDescent="0.25">
      <c r="A136" s="108" t="s">
        <v>17</v>
      </c>
      <c r="B136" s="7" t="s">
        <v>153</v>
      </c>
      <c r="C136" s="7"/>
      <c r="D136" s="109"/>
      <c r="E136" s="13"/>
      <c r="F136" s="13"/>
      <c r="G136" s="100">
        <v>12</v>
      </c>
      <c r="H136" s="107">
        <f>SUM(H135*G136)</f>
        <v>262975.01622175734</v>
      </c>
    </row>
    <row r="137" spans="1:8" ht="15.75" x14ac:dyDescent="0.25">
      <c r="A137" s="6"/>
      <c r="B137" s="6"/>
      <c r="C137" s="6"/>
      <c r="D137" s="6"/>
      <c r="E137" s="6"/>
      <c r="F137" s="6"/>
      <c r="G137" s="6"/>
      <c r="H137" s="6"/>
    </row>
    <row r="141" spans="1:8" x14ac:dyDescent="0.25">
      <c r="B141" s="150" t="s">
        <v>203</v>
      </c>
      <c r="C141" s="150"/>
    </row>
    <row r="142" spans="1:8" x14ac:dyDescent="0.25">
      <c r="B142" s="150" t="s">
        <v>204</v>
      </c>
      <c r="C142" s="150"/>
    </row>
    <row r="143" spans="1:8" x14ac:dyDescent="0.25">
      <c r="B143" s="150" t="s">
        <v>205</v>
      </c>
      <c r="C143" s="150"/>
    </row>
    <row r="144" spans="1:8" x14ac:dyDescent="0.25">
      <c r="B144" s="150"/>
      <c r="C144" s="150"/>
    </row>
    <row r="145" spans="2:6" x14ac:dyDescent="0.25">
      <c r="B145" s="150" t="s">
        <v>206</v>
      </c>
      <c r="C145" s="150"/>
    </row>
    <row r="147" spans="2:6" x14ac:dyDescent="0.25">
      <c r="B147" s="157" t="s">
        <v>207</v>
      </c>
    </row>
    <row r="148" spans="2:6" x14ac:dyDescent="0.25">
      <c r="B148" s="150" t="s">
        <v>208</v>
      </c>
    </row>
    <row r="149" spans="2:6" x14ac:dyDescent="0.25">
      <c r="B149" s="150" t="s">
        <v>209</v>
      </c>
    </row>
    <row r="150" spans="2:6" x14ac:dyDescent="0.25">
      <c r="B150" s="150"/>
    </row>
    <row r="151" spans="2:6" x14ac:dyDescent="0.25">
      <c r="B151" s="150" t="s">
        <v>210</v>
      </c>
    </row>
    <row r="152" spans="2:6" x14ac:dyDescent="0.25">
      <c r="B152" s="150"/>
    </row>
    <row r="153" spans="2:6" x14ac:dyDescent="0.25">
      <c r="B153" s="155" t="s">
        <v>211</v>
      </c>
    </row>
    <row r="154" spans="2:6" x14ac:dyDescent="0.25">
      <c r="B154" s="150" t="s">
        <v>212</v>
      </c>
    </row>
    <row r="155" spans="2:6" x14ac:dyDescent="0.25">
      <c r="B155" s="150"/>
    </row>
    <row r="156" spans="2:6" x14ac:dyDescent="0.25">
      <c r="B156" s="150" t="s">
        <v>206</v>
      </c>
    </row>
    <row r="157" spans="2:6" x14ac:dyDescent="0.25">
      <c r="B157" s="150" t="s">
        <v>222</v>
      </c>
    </row>
    <row r="158" spans="2:6" x14ac:dyDescent="0.25">
      <c r="B158" s="151" t="s">
        <v>213</v>
      </c>
      <c r="C158" s="152"/>
      <c r="D158" s="152"/>
      <c r="E158" s="152"/>
      <c r="F158" s="152"/>
    </row>
    <row r="159" spans="2:6" x14ac:dyDescent="0.25">
      <c r="B159" s="151"/>
      <c r="C159" s="152"/>
      <c r="D159" s="152"/>
      <c r="E159" s="152"/>
      <c r="F159" s="152"/>
    </row>
    <row r="160" spans="2:6" x14ac:dyDescent="0.25">
      <c r="B160" s="151" t="s">
        <v>214</v>
      </c>
      <c r="C160" s="152" t="s">
        <v>215</v>
      </c>
      <c r="D160" s="152" t="s">
        <v>216</v>
      </c>
      <c r="E160" s="152" t="s">
        <v>217</v>
      </c>
      <c r="F160" s="152" t="s">
        <v>218</v>
      </c>
    </row>
    <row r="161" spans="2:6" x14ac:dyDescent="0.25">
      <c r="B161" s="151" t="s">
        <v>219</v>
      </c>
      <c r="C161" s="153">
        <v>1.6500000000000001E-2</v>
      </c>
      <c r="D161" s="153">
        <v>7.5999999999999998E-2</v>
      </c>
      <c r="E161" s="154">
        <v>0.05</v>
      </c>
      <c r="F161" s="152">
        <v>0.85750000000000004</v>
      </c>
    </row>
    <row r="162" spans="2:6" x14ac:dyDescent="0.25">
      <c r="B162" s="151" t="s">
        <v>220</v>
      </c>
      <c r="C162" s="153">
        <v>6.4999999999999997E-3</v>
      </c>
      <c r="D162" s="154">
        <v>0.03</v>
      </c>
      <c r="E162" s="154">
        <v>0.05</v>
      </c>
      <c r="F162" s="152">
        <v>0.91349999999999998</v>
      </c>
    </row>
    <row r="163" spans="2:6" x14ac:dyDescent="0.25">
      <c r="B163" s="151" t="s">
        <v>221</v>
      </c>
      <c r="C163" s="153">
        <v>4.4000000000000003E-3</v>
      </c>
      <c r="D163" s="153">
        <v>2.35E-2</v>
      </c>
      <c r="E163" s="154">
        <v>0.05</v>
      </c>
      <c r="F163" s="152">
        <v>0.92210000000000003</v>
      </c>
    </row>
    <row r="165" spans="2:6" x14ac:dyDescent="0.25">
      <c r="B165" s="156" t="s">
        <v>224</v>
      </c>
    </row>
  </sheetData>
  <mergeCells count="51">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0">
      <formula1>$K$28:$K$31</formula1>
      <formula2>0</formula2>
    </dataValidation>
    <dataValidation type="list" operator="equal" allowBlank="1" showErrorMessage="1" sqref="D30">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0866141732283472" right="0.70866141732283472" top="0.74803149606299213" bottom="0.74803149606299213" header="0.31496062992125984" footer="0.31496062992125984"/>
  <pageSetup paperSize="9" scale="45"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4"/>
  <sheetViews>
    <sheetView topLeftCell="A117" zoomScale="70" zoomScaleNormal="70" workbookViewId="0">
      <selection activeCell="B80" sqref="B80:H80"/>
    </sheetView>
  </sheetViews>
  <sheetFormatPr defaultRowHeight="15" x14ac:dyDescent="0.25"/>
  <cols>
    <col min="1" max="1" width="23.28515625"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17.140625" bestFit="1" customWidth="1"/>
    <col min="9" max="9" width="20.7109375" customWidth="1"/>
    <col min="10" max="10" width="11" bestFit="1" customWidth="1"/>
    <col min="12" max="12" width="11.5703125" bestFit="1" customWidth="1"/>
    <col min="13" max="13" width="12" bestFit="1" customWidth="1"/>
  </cols>
  <sheetData>
    <row r="1" spans="1:8" x14ac:dyDescent="0.25">
      <c r="A1" s="1"/>
      <c r="B1" s="1"/>
      <c r="C1" s="1"/>
      <c r="D1" s="1"/>
      <c r="E1" s="1"/>
      <c r="F1" s="1"/>
      <c r="G1" s="1"/>
      <c r="H1" s="2"/>
    </row>
    <row r="2" spans="1:8" ht="15.75" x14ac:dyDescent="0.25">
      <c r="A2" s="3" t="s">
        <v>202</v>
      </c>
      <c r="B2" s="3" t="s">
        <v>0</v>
      </c>
      <c r="C2" s="3"/>
      <c r="D2" s="4" t="s">
        <v>1</v>
      </c>
      <c r="E2" s="3"/>
      <c r="F2" s="3" t="s">
        <v>2</v>
      </c>
      <c r="G2" s="3"/>
      <c r="H2" s="5" t="s">
        <v>156</v>
      </c>
    </row>
    <row r="3" spans="1:8" ht="15.75" x14ac:dyDescent="0.25">
      <c r="A3" s="273" t="s">
        <v>3</v>
      </c>
      <c r="B3" s="273"/>
      <c r="C3" s="273"/>
      <c r="D3" s="273"/>
      <c r="E3" s="273"/>
      <c r="F3" s="273"/>
      <c r="G3" s="273"/>
      <c r="H3" s="273"/>
    </row>
    <row r="4" spans="1:8" ht="15.75" x14ac:dyDescent="0.25">
      <c r="A4" s="6" t="s">
        <v>4</v>
      </c>
      <c r="B4" s="7" t="s">
        <v>5</v>
      </c>
      <c r="C4" s="7"/>
      <c r="D4" s="8"/>
      <c r="E4" s="291" t="s">
        <v>6</v>
      </c>
      <c r="F4" s="291"/>
      <c r="G4" s="291"/>
      <c r="H4" s="291"/>
    </row>
    <row r="5" spans="1:8" ht="15.75" x14ac:dyDescent="0.25">
      <c r="A5" s="6" t="s">
        <v>7</v>
      </c>
      <c r="B5" s="7" t="s">
        <v>8</v>
      </c>
      <c r="C5" s="7"/>
      <c r="D5" s="9"/>
      <c r="E5" s="291"/>
      <c r="F5" s="291"/>
      <c r="G5" s="291"/>
      <c r="H5" s="291"/>
    </row>
    <row r="6" spans="1:8" ht="15.75" x14ac:dyDescent="0.25">
      <c r="A6" s="6" t="s">
        <v>9</v>
      </c>
      <c r="B6" s="7" t="s">
        <v>10</v>
      </c>
      <c r="C6" s="7"/>
      <c r="D6" s="10" t="s">
        <v>11</v>
      </c>
      <c r="E6" s="291"/>
      <c r="F6" s="291"/>
      <c r="G6" s="291"/>
      <c r="H6" s="291"/>
    </row>
    <row r="7" spans="1:8" ht="15.75" x14ac:dyDescent="0.25">
      <c r="A7" s="292"/>
      <c r="B7" s="292"/>
      <c r="C7" s="292"/>
      <c r="D7" s="292"/>
      <c r="E7" s="11"/>
      <c r="F7" s="11"/>
      <c r="G7" s="11"/>
      <c r="H7" s="11"/>
    </row>
    <row r="8" spans="1:8" ht="15.75" x14ac:dyDescent="0.25">
      <c r="A8" s="273" t="s">
        <v>12</v>
      </c>
      <c r="B8" s="273"/>
      <c r="C8" s="273"/>
      <c r="D8" s="273"/>
      <c r="E8" s="273"/>
      <c r="F8" s="273"/>
      <c r="G8" s="273"/>
      <c r="H8" s="273"/>
    </row>
    <row r="9" spans="1:8" x14ac:dyDescent="0.25">
      <c r="A9" s="12" t="s">
        <v>4</v>
      </c>
      <c r="B9" s="13" t="s">
        <v>13</v>
      </c>
      <c r="C9" s="13"/>
      <c r="D9" s="285" t="s">
        <v>14</v>
      </c>
      <c r="E9" s="285"/>
      <c r="F9" s="285"/>
      <c r="G9" s="285"/>
      <c r="H9" s="285"/>
    </row>
    <row r="10" spans="1:8" x14ac:dyDescent="0.25">
      <c r="A10" s="12" t="s">
        <v>7</v>
      </c>
      <c r="B10" s="13" t="s">
        <v>15</v>
      </c>
      <c r="C10" s="13"/>
      <c r="D10" s="293" t="s">
        <v>185</v>
      </c>
      <c r="E10" s="293"/>
      <c r="F10" s="293"/>
      <c r="G10" s="293"/>
      <c r="H10" s="293"/>
    </row>
    <row r="11" spans="1:8" x14ac:dyDescent="0.25">
      <c r="A11" s="12" t="s">
        <v>9</v>
      </c>
      <c r="B11" s="13" t="s">
        <v>16</v>
      </c>
      <c r="C11" s="13"/>
      <c r="D11" s="293" t="s">
        <v>174</v>
      </c>
      <c r="E11" s="293"/>
      <c r="F11" s="293"/>
      <c r="G11" s="293"/>
      <c r="H11" s="293"/>
    </row>
    <row r="12" spans="1:8" x14ac:dyDescent="0.25">
      <c r="A12" s="12" t="s">
        <v>17</v>
      </c>
      <c r="B12" s="13" t="s">
        <v>18</v>
      </c>
      <c r="C12" s="13"/>
      <c r="D12" s="293">
        <v>12</v>
      </c>
      <c r="E12" s="293"/>
      <c r="F12" s="293"/>
      <c r="G12" s="293"/>
      <c r="H12" s="293"/>
    </row>
    <row r="13" spans="1:8" x14ac:dyDescent="0.25">
      <c r="A13" s="12"/>
      <c r="B13" s="13"/>
      <c r="C13" s="13"/>
      <c r="D13" s="14"/>
      <c r="E13" s="14"/>
      <c r="F13" s="14"/>
      <c r="G13" s="14"/>
      <c r="H13" s="15"/>
    </row>
    <row r="14" spans="1:8" ht="15.75" x14ac:dyDescent="0.25">
      <c r="A14" s="273" t="s">
        <v>19</v>
      </c>
      <c r="B14" s="273"/>
      <c r="C14" s="273"/>
      <c r="D14" s="273"/>
      <c r="E14" s="273"/>
      <c r="F14" s="273"/>
      <c r="G14" s="273"/>
      <c r="H14" s="273"/>
    </row>
    <row r="15" spans="1:8" ht="15.75" x14ac:dyDescent="0.25">
      <c r="A15" s="12"/>
      <c r="B15" s="16" t="s">
        <v>20</v>
      </c>
      <c r="C15" s="16"/>
      <c r="D15" s="17" t="s">
        <v>21</v>
      </c>
      <c r="E15" s="294" t="s">
        <v>22</v>
      </c>
      <c r="F15" s="294"/>
      <c r="G15" s="294"/>
      <c r="H15" s="294"/>
    </row>
    <row r="16" spans="1:8" x14ac:dyDescent="0.25">
      <c r="A16" s="12" t="s">
        <v>4</v>
      </c>
      <c r="B16" s="18" t="s">
        <v>180</v>
      </c>
      <c r="C16" s="19"/>
      <c r="D16" s="20" t="s">
        <v>23</v>
      </c>
      <c r="E16" s="295">
        <v>1</v>
      </c>
      <c r="F16" s="295"/>
      <c r="G16" s="295"/>
      <c r="H16" s="295"/>
    </row>
    <row r="17" spans="1:9" x14ac:dyDescent="0.25">
      <c r="A17" s="12" t="s">
        <v>7</v>
      </c>
      <c r="B17" s="13"/>
      <c r="C17" s="13"/>
      <c r="D17" s="21"/>
      <c r="E17" s="283"/>
      <c r="F17" s="283"/>
      <c r="G17" s="283"/>
      <c r="H17" s="283"/>
    </row>
    <row r="18" spans="1:9" x14ac:dyDescent="0.25">
      <c r="A18" s="12" t="s">
        <v>9</v>
      </c>
      <c r="B18" s="13"/>
      <c r="C18" s="13"/>
      <c r="D18" s="21"/>
      <c r="E18" s="283"/>
      <c r="F18" s="283"/>
      <c r="G18" s="283"/>
      <c r="H18" s="283"/>
    </row>
    <row r="19" spans="1:9" ht="15.75" x14ac:dyDescent="0.25">
      <c r="A19" s="110"/>
      <c r="B19" s="273" t="s">
        <v>24</v>
      </c>
      <c r="C19" s="273"/>
      <c r="D19" s="273"/>
      <c r="E19" s="273"/>
      <c r="F19" s="273"/>
      <c r="G19" s="273"/>
      <c r="H19" s="273"/>
    </row>
    <row r="20" spans="1:9" ht="15.75" x14ac:dyDescent="0.25">
      <c r="A20" s="284" t="s">
        <v>25</v>
      </c>
      <c r="B20" s="284"/>
      <c r="C20" s="284"/>
      <c r="D20" s="284"/>
      <c r="E20" s="284"/>
      <c r="F20" s="284"/>
      <c r="G20" s="284"/>
      <c r="H20" s="284"/>
    </row>
    <row r="21" spans="1:9" x14ac:dyDescent="0.25">
      <c r="A21" s="12">
        <v>1</v>
      </c>
      <c r="B21" s="13" t="s">
        <v>20</v>
      </c>
      <c r="C21" s="13"/>
      <c r="D21" s="285" t="s">
        <v>179</v>
      </c>
      <c r="E21" s="285"/>
      <c r="F21" s="285"/>
      <c r="G21" s="285"/>
      <c r="H21" s="285"/>
    </row>
    <row r="22" spans="1:9" x14ac:dyDescent="0.25">
      <c r="A22" s="12">
        <v>2</v>
      </c>
      <c r="B22" s="13" t="s">
        <v>26</v>
      </c>
      <c r="C22" s="13"/>
      <c r="D22" s="286" t="s">
        <v>178</v>
      </c>
      <c r="E22" s="286"/>
      <c r="F22" s="286"/>
      <c r="G22" s="286"/>
      <c r="H22" s="286"/>
    </row>
    <row r="23" spans="1:9" x14ac:dyDescent="0.25">
      <c r="A23" s="12">
        <v>3</v>
      </c>
      <c r="B23" s="13" t="s">
        <v>27</v>
      </c>
      <c r="C23" s="13"/>
      <c r="D23" s="22">
        <v>1007.64</v>
      </c>
      <c r="E23" s="23"/>
      <c r="F23" s="23"/>
      <c r="G23" s="23"/>
      <c r="H23" s="23"/>
    </row>
    <row r="24" spans="1:9" ht="30" x14ac:dyDescent="0.25">
      <c r="A24" s="1">
        <v>4</v>
      </c>
      <c r="B24" s="24" t="s">
        <v>28</v>
      </c>
      <c r="C24" s="24"/>
      <c r="D24" s="287" t="s">
        <v>170</v>
      </c>
      <c r="E24" s="287"/>
      <c r="F24" s="287"/>
      <c r="G24" s="287"/>
      <c r="H24" s="287"/>
    </row>
    <row r="25" spans="1:9" x14ac:dyDescent="0.25">
      <c r="A25" s="1">
        <v>5</v>
      </c>
      <c r="B25" s="25" t="s">
        <v>29</v>
      </c>
      <c r="C25" s="25"/>
      <c r="D25" s="288" t="s">
        <v>171</v>
      </c>
      <c r="E25" s="288"/>
      <c r="F25" s="288"/>
      <c r="G25" s="288"/>
      <c r="H25" s="288"/>
    </row>
    <row r="26" spans="1:9" ht="15.75" x14ac:dyDescent="0.25">
      <c r="A26" s="26">
        <v>1</v>
      </c>
      <c r="B26" s="271" t="s">
        <v>30</v>
      </c>
      <c r="C26" s="271"/>
      <c r="D26" s="271"/>
      <c r="E26" s="271"/>
      <c r="F26" s="271"/>
      <c r="G26" s="271"/>
      <c r="H26" s="271"/>
    </row>
    <row r="27" spans="1:9" ht="15.75" x14ac:dyDescent="0.25">
      <c r="A27" s="1" t="s">
        <v>4</v>
      </c>
      <c r="B27" s="27" t="s">
        <v>31</v>
      </c>
      <c r="C27" s="27"/>
      <c r="D27" s="27"/>
      <c r="G27" s="28"/>
      <c r="H27" s="29">
        <v>1007.64</v>
      </c>
    </row>
    <row r="28" spans="1:9" ht="15.75" x14ac:dyDescent="0.25">
      <c r="A28" s="1" t="s">
        <v>7</v>
      </c>
      <c r="B28" s="6" t="s">
        <v>32</v>
      </c>
      <c r="C28" s="6"/>
      <c r="D28" s="30" t="s">
        <v>33</v>
      </c>
      <c r="E28" s="31">
        <v>0</v>
      </c>
      <c r="H28" s="32">
        <f>H27*E28</f>
        <v>0</v>
      </c>
    </row>
    <row r="29" spans="1:9" ht="30.75" x14ac:dyDescent="0.25">
      <c r="A29" s="127" t="s">
        <v>9</v>
      </c>
      <c r="B29" s="132" t="s">
        <v>186</v>
      </c>
      <c r="C29" s="133"/>
      <c r="D29" s="134" t="s">
        <v>35</v>
      </c>
      <c r="E29" s="135" t="s">
        <v>36</v>
      </c>
      <c r="F29" s="134" t="s">
        <v>37</v>
      </c>
      <c r="G29" s="136"/>
      <c r="H29" s="137">
        <f>E31*F31</f>
        <v>403.05600000000004</v>
      </c>
    </row>
    <row r="30" spans="1:9" ht="15.75" x14ac:dyDescent="0.25">
      <c r="A30" s="1" t="s">
        <v>17</v>
      </c>
      <c r="B30" s="6" t="s">
        <v>38</v>
      </c>
      <c r="C30" s="6"/>
      <c r="D30" s="30" t="s">
        <v>39</v>
      </c>
      <c r="E30" s="36">
        <v>0</v>
      </c>
      <c r="F30" s="37">
        <v>954</v>
      </c>
      <c r="G30" s="27"/>
      <c r="H30" s="38"/>
      <c r="I30">
        <v>40</v>
      </c>
    </row>
    <row r="31" spans="1:9" ht="15.75" x14ac:dyDescent="0.25">
      <c r="A31" s="1" t="s">
        <v>40</v>
      </c>
      <c r="B31" s="6" t="s">
        <v>41</v>
      </c>
      <c r="C31" s="6"/>
      <c r="E31">
        <v>0.4</v>
      </c>
      <c r="F31" s="121">
        <f>H27</f>
        <v>1007.64</v>
      </c>
      <c r="G31" s="35"/>
      <c r="H31" s="38"/>
      <c r="I31">
        <v>40</v>
      </c>
    </row>
    <row r="32" spans="1:9" ht="15.75" x14ac:dyDescent="0.25">
      <c r="A32" s="1" t="s">
        <v>42</v>
      </c>
      <c r="B32" s="6" t="s">
        <v>159</v>
      </c>
      <c r="C32" s="6"/>
      <c r="G32" s="35"/>
      <c r="H32" s="38"/>
    </row>
    <row r="33" spans="1:9" ht="15.75" x14ac:dyDescent="0.25">
      <c r="A33" s="1" t="s">
        <v>61</v>
      </c>
      <c r="B33" s="6" t="s">
        <v>155</v>
      </c>
      <c r="C33" s="6"/>
      <c r="G33" s="35"/>
      <c r="H33" s="38"/>
    </row>
    <row r="34" spans="1:9" ht="15.75" x14ac:dyDescent="0.25">
      <c r="A34" s="1" t="s">
        <v>43</v>
      </c>
      <c r="B34" s="8" t="s">
        <v>160</v>
      </c>
      <c r="C34" s="8"/>
      <c r="G34" s="35"/>
      <c r="H34" s="38"/>
    </row>
    <row r="35" spans="1:9" ht="15.75" x14ac:dyDescent="0.25">
      <c r="A35" s="1" t="s">
        <v>161</v>
      </c>
      <c r="B35" s="8" t="s">
        <v>162</v>
      </c>
      <c r="C35" s="8"/>
      <c r="G35" s="35"/>
      <c r="H35" s="38"/>
    </row>
    <row r="36" spans="1:9" ht="15.75" x14ac:dyDescent="0.25">
      <c r="A36" s="1" t="s">
        <v>19</v>
      </c>
      <c r="B36" s="6" t="s">
        <v>44</v>
      </c>
      <c r="C36" s="6"/>
      <c r="D36" s="27"/>
      <c r="E36" s="27"/>
      <c r="F36" s="35"/>
      <c r="G36" s="35"/>
      <c r="H36" s="35">
        <v>0</v>
      </c>
    </row>
    <row r="37" spans="1:9" ht="15.75" x14ac:dyDescent="0.25">
      <c r="A37" s="39"/>
      <c r="B37" s="40" t="s">
        <v>45</v>
      </c>
      <c r="C37" s="40"/>
      <c r="D37" s="41"/>
      <c r="E37" s="41"/>
      <c r="F37" s="42"/>
      <c r="G37" s="42"/>
      <c r="H37" s="43">
        <f>SUM(H27:H36)</f>
        <v>1410.6959999999999</v>
      </c>
    </row>
    <row r="38" spans="1:9" ht="15.75" x14ac:dyDescent="0.25">
      <c r="A38" s="44">
        <v>2</v>
      </c>
      <c r="B38" s="289" t="s">
        <v>46</v>
      </c>
      <c r="C38" s="289"/>
      <c r="D38" s="289"/>
      <c r="E38" s="289"/>
      <c r="F38" s="289"/>
      <c r="G38" s="289"/>
      <c r="H38" s="289"/>
    </row>
    <row r="39" spans="1:9" ht="15.75" x14ac:dyDescent="0.25">
      <c r="A39" s="124" t="s">
        <v>47</v>
      </c>
      <c r="B39" s="290" t="s">
        <v>48</v>
      </c>
      <c r="C39" s="290"/>
      <c r="D39" s="290"/>
      <c r="E39" s="290"/>
      <c r="F39" s="290"/>
      <c r="G39" s="290"/>
      <c r="H39" s="290"/>
    </row>
    <row r="40" spans="1:9" ht="15.75" x14ac:dyDescent="0.25">
      <c r="A40" s="1" t="s">
        <v>4</v>
      </c>
      <c r="B40" s="8" t="s">
        <v>49</v>
      </c>
      <c r="C40" s="8"/>
      <c r="D40" s="8"/>
      <c r="E40" s="27"/>
      <c r="F40" s="28"/>
      <c r="G40" s="45">
        <v>8.3299999999999999E-2</v>
      </c>
      <c r="H40" s="28">
        <f>SUM($H$37*G40)</f>
        <v>117.51097679999999</v>
      </c>
    </row>
    <row r="41" spans="1:9" ht="15.75" x14ac:dyDescent="0.25">
      <c r="A41" s="1" t="s">
        <v>7</v>
      </c>
      <c r="B41" s="27" t="s">
        <v>50</v>
      </c>
      <c r="C41" s="27"/>
      <c r="D41" s="27"/>
      <c r="E41" s="27"/>
      <c r="F41" s="46"/>
      <c r="G41" s="47">
        <v>0.121</v>
      </c>
      <c r="H41" s="28">
        <f>SUM($H$37*G41)</f>
        <v>170.69421599999998</v>
      </c>
    </row>
    <row r="42" spans="1:9" ht="15.75" x14ac:dyDescent="0.25">
      <c r="A42" s="1" t="s">
        <v>9</v>
      </c>
      <c r="B42" s="48" t="s">
        <v>51</v>
      </c>
      <c r="C42" s="48"/>
      <c r="D42" s="27"/>
      <c r="E42" s="27"/>
      <c r="F42" s="46"/>
      <c r="G42" s="47">
        <f>G41+G40*G53</f>
        <v>0.15165439999999999</v>
      </c>
      <c r="H42" s="28">
        <f>SUM(H40:H41)*G53</f>
        <v>106.05951095040001</v>
      </c>
    </row>
    <row r="43" spans="1:9" ht="15.75" x14ac:dyDescent="0.25">
      <c r="A43" s="49"/>
      <c r="B43" s="50" t="s">
        <v>45</v>
      </c>
      <c r="C43" s="40"/>
      <c r="D43" s="41"/>
      <c r="E43" s="41"/>
      <c r="F43" s="42"/>
      <c r="G43" s="42"/>
      <c r="H43" s="43">
        <f>SUM(H40:H42)</f>
        <v>394.26470375039997</v>
      </c>
    </row>
    <row r="44" spans="1:9" ht="15.75" x14ac:dyDescent="0.25">
      <c r="A44" s="110" t="s">
        <v>52</v>
      </c>
      <c r="B44" s="273" t="s">
        <v>53</v>
      </c>
      <c r="C44" s="273"/>
      <c r="D44" s="273"/>
      <c r="E44" s="273"/>
      <c r="F44" s="273"/>
      <c r="G44" s="273"/>
      <c r="H44" s="273"/>
    </row>
    <row r="45" spans="1:9" ht="15.75" x14ac:dyDescent="0.25">
      <c r="A45" s="1" t="s">
        <v>4</v>
      </c>
      <c r="B45" s="51" t="s">
        <v>54</v>
      </c>
      <c r="C45" s="51"/>
      <c r="D45" s="27"/>
      <c r="E45" s="27"/>
      <c r="F45" s="28"/>
      <c r="G45" s="45">
        <v>0.2</v>
      </c>
      <c r="H45" s="28">
        <f t="shared" ref="H45:H52" si="0">SUM($H$37*G45)</f>
        <v>282.13920000000002</v>
      </c>
    </row>
    <row r="46" spans="1:9" ht="15.75" x14ac:dyDescent="0.25">
      <c r="A46" s="1" t="s">
        <v>7</v>
      </c>
      <c r="B46" s="51" t="s">
        <v>55</v>
      </c>
      <c r="C46" s="51"/>
      <c r="D46" s="282" t="s">
        <v>56</v>
      </c>
      <c r="E46" s="282"/>
      <c r="F46" s="28"/>
      <c r="G46" s="52">
        <v>1.4999999999999999E-2</v>
      </c>
      <c r="H46" s="28">
        <f t="shared" si="0"/>
        <v>21.160439999999998</v>
      </c>
    </row>
    <row r="47" spans="1:9" ht="15.75" x14ac:dyDescent="0.25">
      <c r="A47" s="1" t="s">
        <v>9</v>
      </c>
      <c r="B47" s="51" t="s">
        <v>57</v>
      </c>
      <c r="C47" s="51"/>
      <c r="D47" s="282"/>
      <c r="E47" s="282"/>
      <c r="F47" s="28"/>
      <c r="G47" s="52">
        <v>0.01</v>
      </c>
      <c r="H47" s="28">
        <f t="shared" si="0"/>
        <v>14.106959999999999</v>
      </c>
      <c r="I47" s="115"/>
    </row>
    <row r="48" spans="1:9" ht="15.75" x14ac:dyDescent="0.25">
      <c r="A48" s="1" t="s">
        <v>17</v>
      </c>
      <c r="B48" s="51" t="s">
        <v>58</v>
      </c>
      <c r="C48" s="51"/>
      <c r="D48" s="27"/>
      <c r="E48" s="27"/>
      <c r="F48" s="28"/>
      <c r="G48" s="52">
        <v>2E-3</v>
      </c>
      <c r="H48" s="28">
        <f t="shared" si="0"/>
        <v>2.8213919999999999</v>
      </c>
    </row>
    <row r="49" spans="1:9" ht="15.75" x14ac:dyDescent="0.25">
      <c r="A49" s="1" t="s">
        <v>40</v>
      </c>
      <c r="B49" s="51" t="s">
        <v>59</v>
      </c>
      <c r="C49" s="51"/>
      <c r="D49" s="27"/>
      <c r="E49" s="27"/>
      <c r="F49" s="28"/>
      <c r="G49" s="52">
        <v>2.5000000000000001E-2</v>
      </c>
      <c r="H49" s="28">
        <f t="shared" si="0"/>
        <v>35.267400000000002</v>
      </c>
    </row>
    <row r="50" spans="1:9" ht="15.75" x14ac:dyDescent="0.25">
      <c r="A50" s="1" t="s">
        <v>42</v>
      </c>
      <c r="B50" s="51" t="s">
        <v>60</v>
      </c>
      <c r="C50" s="51"/>
      <c r="D50" s="27"/>
      <c r="E50" s="27"/>
      <c r="F50" s="28"/>
      <c r="G50" s="45">
        <v>0.08</v>
      </c>
      <c r="H50" s="28">
        <f t="shared" si="0"/>
        <v>112.85567999999999</v>
      </c>
    </row>
    <row r="51" spans="1:9" ht="15.75" x14ac:dyDescent="0.25">
      <c r="A51" s="127" t="s">
        <v>61</v>
      </c>
      <c r="B51" s="128" t="s">
        <v>62</v>
      </c>
      <c r="C51" s="128"/>
      <c r="D51" s="129"/>
      <c r="E51" s="129"/>
      <c r="F51" s="129"/>
      <c r="G51" s="130">
        <v>0.03</v>
      </c>
      <c r="H51" s="131">
        <f t="shared" si="0"/>
        <v>42.320879999999995</v>
      </c>
    </row>
    <row r="52" spans="1:9" ht="15.75" x14ac:dyDescent="0.25">
      <c r="A52" s="1" t="s">
        <v>43</v>
      </c>
      <c r="B52" s="51" t="s">
        <v>63</v>
      </c>
      <c r="C52" s="51"/>
      <c r="D52" s="27"/>
      <c r="E52" s="27"/>
      <c r="F52" s="28"/>
      <c r="G52" s="52">
        <v>6.0000000000000001E-3</v>
      </c>
      <c r="H52" s="28">
        <f t="shared" si="0"/>
        <v>8.4641760000000001</v>
      </c>
    </row>
    <row r="53" spans="1:9" ht="15.75" x14ac:dyDescent="0.25">
      <c r="A53" s="54"/>
      <c r="B53" s="55" t="s">
        <v>45</v>
      </c>
      <c r="C53" s="55"/>
      <c r="D53" s="40"/>
      <c r="E53" s="40"/>
      <c r="F53" s="56"/>
      <c r="G53" s="57">
        <f>SUM(G45:G52)</f>
        <v>0.3680000000000001</v>
      </c>
      <c r="H53" s="58">
        <f>SUM(H45:H52)</f>
        <v>519.13612799999999</v>
      </c>
      <c r="I53" s="121">
        <f>H53+H42</f>
        <v>625.19563895040005</v>
      </c>
    </row>
    <row r="54" spans="1:9" ht="15.75" x14ac:dyDescent="0.25">
      <c r="A54" s="110" t="s">
        <v>64</v>
      </c>
      <c r="B54" s="273" t="s">
        <v>65</v>
      </c>
      <c r="C54" s="273"/>
      <c r="D54" s="273"/>
      <c r="E54" s="273"/>
      <c r="F54" s="273"/>
      <c r="G54" s="273"/>
      <c r="H54" s="273"/>
    </row>
    <row r="55" spans="1:9" ht="15.75" x14ac:dyDescent="0.25">
      <c r="A55" s="6" t="s">
        <v>66</v>
      </c>
      <c r="B55" s="59"/>
      <c r="C55" s="59"/>
      <c r="D55" s="60" t="s">
        <v>67</v>
      </c>
      <c r="E55" s="60" t="s">
        <v>68</v>
      </c>
      <c r="F55" s="60" t="s">
        <v>69</v>
      </c>
      <c r="G55" s="60" t="s">
        <v>70</v>
      </c>
      <c r="H55" s="6"/>
    </row>
    <row r="56" spans="1:9" ht="15.75" x14ac:dyDescent="0.25">
      <c r="A56" s="274" t="s">
        <v>4</v>
      </c>
      <c r="B56" s="6" t="s">
        <v>71</v>
      </c>
      <c r="C56" s="6"/>
      <c r="D56" s="275"/>
      <c r="E56" s="276"/>
      <c r="F56" s="277"/>
      <c r="G56" s="278"/>
      <c r="H56" s="35">
        <f>F56*E56*D56</f>
        <v>0</v>
      </c>
    </row>
    <row r="57" spans="1:9" ht="15.75" x14ac:dyDescent="0.25">
      <c r="A57" s="274"/>
      <c r="B57" s="6" t="s">
        <v>72</v>
      </c>
      <c r="C57" s="6"/>
      <c r="D57" s="275"/>
      <c r="E57" s="275"/>
      <c r="F57" s="275"/>
      <c r="G57" s="275"/>
      <c r="H57" s="35">
        <f>H27*G56</f>
        <v>0</v>
      </c>
    </row>
    <row r="58" spans="1:9" ht="15.75" x14ac:dyDescent="0.25">
      <c r="A58" s="274"/>
      <c r="B58" s="8" t="s">
        <v>73</v>
      </c>
      <c r="C58" s="8"/>
      <c r="D58" s="8"/>
      <c r="E58" s="27"/>
      <c r="F58" s="27"/>
      <c r="G58" s="61"/>
      <c r="H58" s="35">
        <f>H56-H57</f>
        <v>0</v>
      </c>
    </row>
    <row r="59" spans="1:9" ht="15.75" x14ac:dyDescent="0.25">
      <c r="A59" s="274" t="s">
        <v>7</v>
      </c>
      <c r="B59" s="6" t="s">
        <v>74</v>
      </c>
      <c r="C59" s="6"/>
      <c r="D59" s="275">
        <v>1</v>
      </c>
      <c r="E59" s="276">
        <v>1</v>
      </c>
      <c r="F59" s="277">
        <v>0</v>
      </c>
      <c r="G59" s="278">
        <v>0.2</v>
      </c>
      <c r="H59" s="35">
        <f>F59*E59*D59</f>
        <v>0</v>
      </c>
    </row>
    <row r="60" spans="1:9" ht="15.75" x14ac:dyDescent="0.25">
      <c r="A60" s="274"/>
      <c r="B60" s="6" t="s">
        <v>72</v>
      </c>
      <c r="C60" s="6"/>
      <c r="D60" s="275"/>
      <c r="E60" s="275"/>
      <c r="F60" s="275"/>
      <c r="G60" s="275"/>
      <c r="H60" s="35">
        <f>H59*G59</f>
        <v>0</v>
      </c>
    </row>
    <row r="61" spans="1:9" ht="15.75" x14ac:dyDescent="0.25">
      <c r="A61" s="274"/>
      <c r="B61" s="279" t="s">
        <v>75</v>
      </c>
      <c r="C61" s="279"/>
      <c r="D61" s="279"/>
      <c r="E61" s="279"/>
      <c r="F61" s="13"/>
      <c r="G61" s="13"/>
      <c r="H61" s="35">
        <f>H59-H60</f>
        <v>0</v>
      </c>
    </row>
    <row r="62" spans="1:9" ht="15.75" x14ac:dyDescent="0.25">
      <c r="A62" s="62" t="s">
        <v>9</v>
      </c>
      <c r="B62" s="279" t="s">
        <v>76</v>
      </c>
      <c r="C62" s="279"/>
      <c r="D62" s="279"/>
      <c r="E62" s="279"/>
      <c r="F62" s="13"/>
      <c r="G62" s="13"/>
      <c r="H62" s="35">
        <v>0</v>
      </c>
    </row>
    <row r="63" spans="1:9" ht="15.75" x14ac:dyDescent="0.25">
      <c r="A63" s="62" t="s">
        <v>17</v>
      </c>
      <c r="B63" s="117" t="s">
        <v>177</v>
      </c>
      <c r="C63" s="117"/>
      <c r="D63" s="117"/>
      <c r="E63" s="117" t="s">
        <v>163</v>
      </c>
      <c r="F63" s="13"/>
      <c r="G63" s="13"/>
      <c r="H63" s="35">
        <v>100</v>
      </c>
    </row>
    <row r="64" spans="1:9" ht="15.75" x14ac:dyDescent="0.25">
      <c r="A64" s="62" t="s">
        <v>40</v>
      </c>
      <c r="B64" s="116" t="s">
        <v>223</v>
      </c>
      <c r="C64" s="117"/>
      <c r="D64" s="117"/>
      <c r="E64" s="117"/>
      <c r="F64" s="13"/>
      <c r="G64" s="13"/>
      <c r="H64" s="35">
        <v>3.53</v>
      </c>
    </row>
    <row r="65" spans="1:13" ht="15.75" x14ac:dyDescent="0.25">
      <c r="A65" s="62" t="s">
        <v>42</v>
      </c>
      <c r="B65" s="116" t="s">
        <v>78</v>
      </c>
      <c r="C65" s="116"/>
      <c r="D65" s="116"/>
      <c r="E65" s="118">
        <v>0</v>
      </c>
      <c r="H65" s="35">
        <f>(1/12*H27)*E65</f>
        <v>0</v>
      </c>
      <c r="J65" s="125"/>
      <c r="K65" s="13"/>
      <c r="L65" s="13"/>
      <c r="M65" s="35"/>
    </row>
    <row r="66" spans="1:13" ht="15.75" x14ac:dyDescent="0.25">
      <c r="A66" s="63"/>
      <c r="B66" s="280" t="s">
        <v>45</v>
      </c>
      <c r="C66" s="280"/>
      <c r="D66" s="280"/>
      <c r="E66" s="280"/>
      <c r="F66" s="64"/>
      <c r="G66" s="64"/>
      <c r="H66" s="65">
        <f>H58+H61+H62+H63+H64+H65</f>
        <v>103.53</v>
      </c>
    </row>
    <row r="67" spans="1:13" ht="15.75" x14ac:dyDescent="0.25">
      <c r="A67" s="273" t="s">
        <v>79</v>
      </c>
      <c r="B67" s="273"/>
      <c r="C67" s="273"/>
      <c r="D67" s="273"/>
      <c r="E67" s="273"/>
      <c r="F67" s="273"/>
      <c r="G67" s="273"/>
      <c r="H67" s="273"/>
    </row>
    <row r="68" spans="1:13" ht="15.75" x14ac:dyDescent="0.25">
      <c r="A68" s="62" t="s">
        <v>47</v>
      </c>
      <c r="B68" s="8" t="s">
        <v>80</v>
      </c>
      <c r="C68" s="8"/>
      <c r="D68" s="66"/>
      <c r="E68" s="66"/>
      <c r="F68" s="13"/>
      <c r="G68" s="13"/>
      <c r="H68" s="67">
        <f>H43</f>
        <v>394.26470375039997</v>
      </c>
    </row>
    <row r="69" spans="1:13" ht="15.75" x14ac:dyDescent="0.25">
      <c r="A69" s="62" t="s">
        <v>52</v>
      </c>
      <c r="B69" s="8" t="s">
        <v>81</v>
      </c>
      <c r="C69" s="8"/>
      <c r="D69" s="66"/>
      <c r="E69" s="66"/>
      <c r="F69" s="13"/>
      <c r="G69" s="13"/>
      <c r="H69" s="67">
        <f>H53</f>
        <v>519.13612799999999</v>
      </c>
    </row>
    <row r="70" spans="1:13" ht="15.75" x14ac:dyDescent="0.25">
      <c r="A70" s="62" t="s">
        <v>64</v>
      </c>
      <c r="B70" s="8" t="s">
        <v>82</v>
      </c>
      <c r="C70" s="8"/>
      <c r="D70" s="66"/>
      <c r="E70" s="66"/>
      <c r="F70" s="13"/>
      <c r="G70" s="13"/>
      <c r="H70" s="67">
        <f>H66</f>
        <v>103.53</v>
      </c>
    </row>
    <row r="71" spans="1:13" ht="15.75" x14ac:dyDescent="0.25">
      <c r="A71" s="63"/>
      <c r="B71" s="126" t="s">
        <v>45</v>
      </c>
      <c r="C71" s="126"/>
      <c r="D71" s="126"/>
      <c r="E71" s="126"/>
      <c r="F71" s="64"/>
      <c r="G71" s="64"/>
      <c r="H71" s="65">
        <f>SUM(H68:H70)</f>
        <v>1016.9308317503999</v>
      </c>
    </row>
    <row r="72" spans="1:13" ht="15.75" x14ac:dyDescent="0.25">
      <c r="A72" s="68">
        <v>3</v>
      </c>
      <c r="B72" s="271" t="s">
        <v>83</v>
      </c>
      <c r="C72" s="271"/>
      <c r="D72" s="271"/>
      <c r="E72" s="271"/>
      <c r="F72" s="271"/>
      <c r="G72" s="271"/>
      <c r="H72" s="271"/>
    </row>
    <row r="73" spans="1:13" ht="15.75" x14ac:dyDescent="0.25">
      <c r="A73" s="1" t="s">
        <v>4</v>
      </c>
      <c r="B73" s="48" t="s">
        <v>84</v>
      </c>
      <c r="C73" s="48"/>
      <c r="D73" s="69"/>
      <c r="E73" s="69"/>
      <c r="F73" s="69"/>
      <c r="G73" s="45">
        <v>4.1999999999999997E-3</v>
      </c>
      <c r="H73" s="28">
        <f>SUM($H$37*G73)</f>
        <v>5.9249231999999994</v>
      </c>
    </row>
    <row r="74" spans="1:13" ht="15.75" x14ac:dyDescent="0.25">
      <c r="A74" s="1" t="s">
        <v>7</v>
      </c>
      <c r="B74" s="48" t="s">
        <v>85</v>
      </c>
      <c r="C74" s="48"/>
      <c r="D74" s="27"/>
      <c r="E74" s="27"/>
      <c r="F74" s="28"/>
      <c r="G74" s="45">
        <f>G73*0.08</f>
        <v>3.3599999999999998E-4</v>
      </c>
      <c r="H74" s="28">
        <f>SUM($H$37*G74)</f>
        <v>0.47399385599999994</v>
      </c>
      <c r="I74" s="115"/>
    </row>
    <row r="75" spans="1:13" ht="15.75" x14ac:dyDescent="0.25">
      <c r="A75" s="1" t="s">
        <v>9</v>
      </c>
      <c r="B75" s="48" t="s">
        <v>86</v>
      </c>
      <c r="C75" s="48"/>
      <c r="D75" s="70"/>
      <c r="E75" s="70"/>
      <c r="F75" s="70"/>
      <c r="G75" s="71">
        <v>2.0000000000000001E-4</v>
      </c>
      <c r="H75" s="72">
        <f>(ROUND(SUM($H$37*G75),2))</f>
        <v>0.28000000000000003</v>
      </c>
    </row>
    <row r="76" spans="1:13" ht="15.75" x14ac:dyDescent="0.25">
      <c r="A76" s="1" t="s">
        <v>17</v>
      </c>
      <c r="B76" s="27" t="s">
        <v>87</v>
      </c>
      <c r="C76" s="27"/>
      <c r="D76" s="69"/>
      <c r="E76" s="69"/>
      <c r="F76" s="69"/>
      <c r="G76" s="45">
        <v>1.9400000000000001E-2</v>
      </c>
      <c r="H76" s="28">
        <f>SUM($H$37*G76)</f>
        <v>27.367502399999999</v>
      </c>
    </row>
    <row r="77" spans="1:13" ht="15.75" x14ac:dyDescent="0.25">
      <c r="A77" s="1" t="s">
        <v>40</v>
      </c>
      <c r="B77" s="48" t="s">
        <v>225</v>
      </c>
      <c r="C77" s="48"/>
      <c r="D77" s="27"/>
      <c r="E77" s="27"/>
      <c r="F77" s="28"/>
      <c r="G77" s="45">
        <f>G76*G53</f>
        <v>7.1392000000000027E-3</v>
      </c>
      <c r="H77" s="28">
        <f>SUM($H$37*G77)</f>
        <v>10.071240883200003</v>
      </c>
      <c r="I77" s="115"/>
    </row>
    <row r="78" spans="1:13" ht="15.75" x14ac:dyDescent="0.25">
      <c r="A78" s="1" t="s">
        <v>42</v>
      </c>
      <c r="B78" s="27" t="s">
        <v>89</v>
      </c>
      <c r="C78" s="27"/>
      <c r="D78" s="70"/>
      <c r="E78" s="70"/>
      <c r="F78" s="70"/>
      <c r="G78" s="52">
        <v>1E-4</v>
      </c>
      <c r="H78" s="28">
        <f>SUM($H$37*G78)</f>
        <v>0.14106959999999999</v>
      </c>
    </row>
    <row r="79" spans="1:13" ht="15.75" x14ac:dyDescent="0.25">
      <c r="A79" s="73"/>
      <c r="B79" s="55" t="s">
        <v>45</v>
      </c>
      <c r="C79" s="55"/>
      <c r="D79" s="41"/>
      <c r="E79" s="41"/>
      <c r="F79" s="74"/>
      <c r="G79" s="57">
        <f>SUM(G73:G78)</f>
        <v>3.1375200000000006E-2</v>
      </c>
      <c r="H79" s="58">
        <f>SUM(H73:H78)</f>
        <v>44.258729939200002</v>
      </c>
    </row>
    <row r="80" spans="1:13" ht="15.75" x14ac:dyDescent="0.25">
      <c r="A80" s="44">
        <v>4</v>
      </c>
      <c r="B80" s="281" t="s">
        <v>90</v>
      </c>
      <c r="C80" s="281"/>
      <c r="D80" s="281"/>
      <c r="E80" s="281"/>
      <c r="F80" s="281"/>
      <c r="G80" s="281"/>
      <c r="H80" s="281"/>
    </row>
    <row r="81" spans="1:9" ht="15.75" x14ac:dyDescent="0.25">
      <c r="A81" s="75" t="s">
        <v>91</v>
      </c>
      <c r="B81" s="273" t="s">
        <v>236</v>
      </c>
      <c r="C81" s="273"/>
      <c r="D81" s="273"/>
      <c r="E81" s="273"/>
      <c r="F81" s="273"/>
      <c r="G81" s="273"/>
      <c r="H81" s="273"/>
    </row>
    <row r="82" spans="1:9" ht="15.75" x14ac:dyDescent="0.25">
      <c r="A82" s="12" t="s">
        <v>4</v>
      </c>
      <c r="B82" s="51" t="s">
        <v>226</v>
      </c>
      <c r="C82" s="51"/>
      <c r="D82" s="53"/>
      <c r="E82" s="53"/>
      <c r="F82" s="53"/>
      <c r="G82" s="45">
        <f>(G40+G41)/12</f>
        <v>1.7024999999999998E-2</v>
      </c>
      <c r="H82" s="28"/>
    </row>
    <row r="83" spans="1:9" ht="15.75" x14ac:dyDescent="0.25">
      <c r="A83" s="123" t="s">
        <v>7</v>
      </c>
      <c r="B83" s="51" t="s">
        <v>227</v>
      </c>
      <c r="C83" s="272" t="s">
        <v>95</v>
      </c>
      <c r="D83" s="76">
        <v>1</v>
      </c>
      <c r="E83" s="272" t="s">
        <v>96</v>
      </c>
      <c r="F83" s="77">
        <v>1</v>
      </c>
      <c r="G83" s="45">
        <f t="shared" ref="G83:G88" si="1">D83/360*F83</f>
        <v>2.7777777777777779E-3</v>
      </c>
      <c r="H83" s="28">
        <f>SUM(H$37*G83)</f>
        <v>3.9186000000000001</v>
      </c>
    </row>
    <row r="84" spans="1:9" ht="15.75" x14ac:dyDescent="0.25">
      <c r="A84" s="12" t="s">
        <v>9</v>
      </c>
      <c r="B84" s="51" t="s">
        <v>228</v>
      </c>
      <c r="C84" s="272"/>
      <c r="D84" s="76">
        <v>20</v>
      </c>
      <c r="E84" s="272"/>
      <c r="F84" s="77">
        <v>1.4999999999999999E-2</v>
      </c>
      <c r="G84" s="45">
        <f t="shared" si="1"/>
        <v>8.3333333333333328E-4</v>
      </c>
      <c r="H84" s="28">
        <f>SUM(H$37*G84)</f>
        <v>1.1755799999999998</v>
      </c>
    </row>
    <row r="85" spans="1:9" ht="15.75" x14ac:dyDescent="0.25">
      <c r="A85" s="12" t="s">
        <v>17</v>
      </c>
      <c r="B85" s="51" t="s">
        <v>229</v>
      </c>
      <c r="C85" s="272"/>
      <c r="D85" s="76">
        <v>15</v>
      </c>
      <c r="E85" s="272"/>
      <c r="F85" s="78">
        <v>1.3299999999999999E-2</v>
      </c>
      <c r="G85" s="45">
        <f t="shared" si="1"/>
        <v>5.5416666666666657E-4</v>
      </c>
      <c r="H85" s="28">
        <f>SUM(H$37*G85)</f>
        <v>0.78176069999999986</v>
      </c>
    </row>
    <row r="86" spans="1:9" ht="15.75" x14ac:dyDescent="0.25">
      <c r="A86" s="12" t="s">
        <v>40</v>
      </c>
      <c r="B86" s="51" t="s">
        <v>230</v>
      </c>
      <c r="C86" s="272"/>
      <c r="D86" s="76">
        <v>180</v>
      </c>
      <c r="E86" s="272"/>
      <c r="F86" s="77">
        <v>1.8599999999999998E-2</v>
      </c>
      <c r="G86" s="45">
        <f t="shared" si="1"/>
        <v>9.2999999999999992E-3</v>
      </c>
      <c r="H86" s="28">
        <f>SUM(H$37*G86)</f>
        <v>13.119472799999999</v>
      </c>
    </row>
    <row r="87" spans="1:9" ht="15.75" x14ac:dyDescent="0.25">
      <c r="A87" s="12" t="s">
        <v>42</v>
      </c>
      <c r="B87" s="51" t="s">
        <v>231</v>
      </c>
      <c r="C87" s="272"/>
      <c r="D87" s="79">
        <v>5</v>
      </c>
      <c r="E87" s="272"/>
      <c r="F87" s="80">
        <v>1</v>
      </c>
      <c r="G87" s="45">
        <f t="shared" si="1"/>
        <v>1.3888888888888888E-2</v>
      </c>
      <c r="H87" s="81">
        <f>SUM(H$37*G87)</f>
        <v>19.592999999999996</v>
      </c>
    </row>
    <row r="88" spans="1:9" ht="15.75" x14ac:dyDescent="0.25">
      <c r="A88" s="12" t="s">
        <v>61</v>
      </c>
      <c r="B88" s="51" t="s">
        <v>101</v>
      </c>
      <c r="C88" s="272"/>
      <c r="D88" s="79"/>
      <c r="E88" s="272"/>
      <c r="F88" s="82"/>
      <c r="G88" s="45">
        <f t="shared" si="1"/>
        <v>0</v>
      </c>
      <c r="H88" s="81"/>
    </row>
    <row r="89" spans="1:9" ht="15.75" x14ac:dyDescent="0.25">
      <c r="A89" s="19"/>
      <c r="B89" s="6" t="s">
        <v>102</v>
      </c>
      <c r="C89" s="6"/>
      <c r="D89" s="27"/>
      <c r="E89" s="27"/>
      <c r="F89" s="28"/>
      <c r="G89" s="45">
        <f>SUM(G82:G88)</f>
        <v>4.4379166666666664E-2</v>
      </c>
      <c r="H89" s="28">
        <f>SUM(H82:H88)</f>
        <v>38.588413499999994</v>
      </c>
    </row>
    <row r="90" spans="1:9" ht="15.75" x14ac:dyDescent="0.25">
      <c r="A90" s="12" t="s">
        <v>42</v>
      </c>
      <c r="B90" s="51" t="s">
        <v>103</v>
      </c>
      <c r="C90" s="51"/>
      <c r="D90" s="27"/>
      <c r="E90" s="27"/>
      <c r="F90" s="28"/>
      <c r="G90" s="45">
        <f>G89*G53</f>
        <v>1.6331533333333335E-2</v>
      </c>
      <c r="H90" s="28">
        <f>SUM(H89*G53)</f>
        <v>14.200536168000003</v>
      </c>
      <c r="I90" s="115">
        <f>SUM(H83:H89)*G53</f>
        <v>28.401072336000006</v>
      </c>
    </row>
    <row r="91" spans="1:9" ht="15.75" x14ac:dyDescent="0.25">
      <c r="A91" s="73"/>
      <c r="B91" s="55" t="s">
        <v>45</v>
      </c>
      <c r="C91" s="55"/>
      <c r="D91" s="41"/>
      <c r="E91" s="41"/>
      <c r="F91" s="74"/>
      <c r="G91" s="57">
        <f>G90+G89</f>
        <v>6.0710699999999999E-2</v>
      </c>
      <c r="H91" s="58">
        <f>SUM(H89:H90)</f>
        <v>52.788949668000001</v>
      </c>
    </row>
    <row r="92" spans="1:9" ht="15.75" x14ac:dyDescent="0.25">
      <c r="A92" s="75" t="s">
        <v>104</v>
      </c>
      <c r="B92" s="273" t="s">
        <v>232</v>
      </c>
      <c r="C92" s="273"/>
      <c r="D92" s="273"/>
      <c r="E92" s="273"/>
      <c r="F92" s="273"/>
      <c r="G92" s="273"/>
      <c r="H92" s="273"/>
    </row>
    <row r="93" spans="1:9" ht="15.75" x14ac:dyDescent="0.25">
      <c r="A93" s="12" t="s">
        <v>4</v>
      </c>
      <c r="B93" s="51" t="s">
        <v>234</v>
      </c>
      <c r="C93" s="51"/>
      <c r="D93" s="53"/>
      <c r="E93" s="53"/>
      <c r="F93" s="53"/>
      <c r="G93" s="52">
        <v>0</v>
      </c>
      <c r="H93" s="28">
        <f>SUM(H$37*G93)</f>
        <v>0</v>
      </c>
    </row>
    <row r="94" spans="1:9" ht="15.75" x14ac:dyDescent="0.25">
      <c r="A94" s="12" t="s">
        <v>7</v>
      </c>
      <c r="B94" s="51" t="s">
        <v>107</v>
      </c>
      <c r="C94" s="51"/>
      <c r="D94" s="53"/>
      <c r="E94" s="53"/>
      <c r="F94" s="53"/>
      <c r="G94" s="45">
        <f>G93*G53</f>
        <v>0</v>
      </c>
      <c r="H94" s="28">
        <f>SUM($H$37*G94)</f>
        <v>0</v>
      </c>
    </row>
    <row r="95" spans="1:9" ht="15.75" x14ac:dyDescent="0.25">
      <c r="A95" s="73"/>
      <c r="B95" s="55" t="s">
        <v>45</v>
      </c>
      <c r="C95" s="55"/>
      <c r="D95" s="41"/>
      <c r="E95" s="41"/>
      <c r="F95" s="74"/>
      <c r="G95" s="57">
        <f>G94+G93</f>
        <v>0</v>
      </c>
      <c r="H95" s="58">
        <f>SUM(H93:H94)</f>
        <v>0</v>
      </c>
    </row>
    <row r="96" spans="1:9" ht="15.75" x14ac:dyDescent="0.25">
      <c r="A96" s="273" t="s">
        <v>108</v>
      </c>
      <c r="B96" s="273"/>
      <c r="C96" s="273"/>
      <c r="D96" s="273"/>
      <c r="E96" s="273"/>
      <c r="F96" s="273"/>
      <c r="G96" s="273"/>
      <c r="H96" s="273"/>
    </row>
    <row r="97" spans="1:12" ht="15.75" x14ac:dyDescent="0.25">
      <c r="A97" s="12" t="s">
        <v>91</v>
      </c>
      <c r="B97" s="51" t="s">
        <v>235</v>
      </c>
      <c r="C97" s="51"/>
      <c r="D97" s="53"/>
      <c r="E97" s="53"/>
      <c r="F97" s="53"/>
      <c r="G97" s="45">
        <f>G91</f>
        <v>6.0710699999999999E-2</v>
      </c>
      <c r="H97" s="28">
        <f>H91</f>
        <v>52.788949668000001</v>
      </c>
    </row>
    <row r="98" spans="1:12" ht="15.75" x14ac:dyDescent="0.25">
      <c r="A98" s="12" t="s">
        <v>104</v>
      </c>
      <c r="B98" s="51" t="s">
        <v>233</v>
      </c>
      <c r="C98" s="51"/>
      <c r="D98" s="53"/>
      <c r="E98" s="53"/>
      <c r="F98" s="53"/>
      <c r="G98" s="45">
        <f>G95</f>
        <v>0</v>
      </c>
      <c r="H98" s="28">
        <f>H95</f>
        <v>0</v>
      </c>
    </row>
    <row r="99" spans="1:12" ht="15.75" x14ac:dyDescent="0.25">
      <c r="A99" s="73"/>
      <c r="B99" s="55" t="s">
        <v>45</v>
      </c>
      <c r="C99" s="55"/>
      <c r="D99" s="41"/>
      <c r="E99" s="41"/>
      <c r="F99" s="74"/>
      <c r="G99" s="57">
        <f>G95+G91</f>
        <v>6.0710699999999999E-2</v>
      </c>
      <c r="H99" s="58">
        <f>SUM(H97:H98)</f>
        <v>52.788949668000001</v>
      </c>
    </row>
    <row r="100" spans="1:12" ht="15.75" x14ac:dyDescent="0.25">
      <c r="A100" s="83">
        <v>5</v>
      </c>
      <c r="B100" s="273" t="s">
        <v>110</v>
      </c>
      <c r="C100" s="273"/>
      <c r="D100" s="273"/>
      <c r="E100" s="273"/>
      <c r="F100" s="273"/>
      <c r="G100" s="273"/>
      <c r="H100" s="273"/>
    </row>
    <row r="101" spans="1:12" ht="15.75" x14ac:dyDescent="0.25">
      <c r="A101" s="12" t="s">
        <v>4</v>
      </c>
      <c r="B101" s="13" t="s">
        <v>111</v>
      </c>
      <c r="C101" s="13"/>
      <c r="D101" s="84"/>
      <c r="E101" s="27"/>
      <c r="F101" s="85"/>
      <c r="G101" s="85"/>
      <c r="H101" s="85">
        <v>23.84</v>
      </c>
    </row>
    <row r="102" spans="1:12" ht="15.75" x14ac:dyDescent="0.25">
      <c r="A102" s="12" t="s">
        <v>7</v>
      </c>
      <c r="B102" s="13" t="s">
        <v>112</v>
      </c>
      <c r="C102" s="13"/>
      <c r="D102" s="84"/>
      <c r="E102" s="27"/>
      <c r="F102" s="85"/>
      <c r="G102" s="85"/>
      <c r="H102" s="85"/>
    </row>
    <row r="103" spans="1:12" ht="15.75" x14ac:dyDescent="0.25">
      <c r="A103" s="12" t="s">
        <v>9</v>
      </c>
      <c r="B103" s="13" t="s">
        <v>113</v>
      </c>
      <c r="C103" s="13"/>
      <c r="D103" s="84"/>
      <c r="E103" s="27"/>
      <c r="F103" s="85"/>
      <c r="G103" s="85"/>
      <c r="H103" s="85">
        <v>5.47</v>
      </c>
    </row>
    <row r="104" spans="1:12" ht="15.75" x14ac:dyDescent="0.25">
      <c r="A104" s="12" t="s">
        <v>17</v>
      </c>
      <c r="B104" s="13" t="s">
        <v>164</v>
      </c>
      <c r="C104" s="13"/>
      <c r="D104" s="84"/>
      <c r="E104" s="27"/>
      <c r="F104" s="85"/>
      <c r="G104" s="85"/>
      <c r="H104" s="85">
        <v>51.38</v>
      </c>
    </row>
    <row r="105" spans="1:12" ht="15.75" x14ac:dyDescent="0.25">
      <c r="A105" s="12" t="s">
        <v>40</v>
      </c>
      <c r="B105" s="13" t="s">
        <v>101</v>
      </c>
      <c r="C105" s="13"/>
      <c r="D105" s="84"/>
      <c r="E105" s="27"/>
      <c r="F105" s="85"/>
      <c r="G105" s="85"/>
      <c r="H105" s="85">
        <v>0</v>
      </c>
    </row>
    <row r="106" spans="1:12" ht="15.75" x14ac:dyDescent="0.25">
      <c r="A106" s="73"/>
      <c r="B106" s="55" t="s">
        <v>45</v>
      </c>
      <c r="C106" s="55"/>
      <c r="D106" s="41"/>
      <c r="E106" s="41"/>
      <c r="F106" s="74"/>
      <c r="G106" s="57"/>
      <c r="H106" s="58">
        <f>SUM(H101:H105)</f>
        <v>80.69</v>
      </c>
    </row>
    <row r="107" spans="1:12" ht="15.75" x14ac:dyDescent="0.25">
      <c r="A107" s="83">
        <v>6</v>
      </c>
      <c r="B107" s="273" t="s">
        <v>114</v>
      </c>
      <c r="C107" s="273"/>
      <c r="D107" s="273"/>
      <c r="E107" s="273"/>
      <c r="F107" s="273"/>
      <c r="G107" s="273"/>
      <c r="H107" s="273"/>
    </row>
    <row r="108" spans="1:12" ht="15.75" x14ac:dyDescent="0.25">
      <c r="A108" s="86" t="s">
        <v>4</v>
      </c>
      <c r="B108" s="27"/>
      <c r="C108" s="27"/>
      <c r="D108" s="27"/>
      <c r="E108" s="27"/>
      <c r="F108" s="27" t="s">
        <v>115</v>
      </c>
      <c r="G108" s="52">
        <v>0.01</v>
      </c>
      <c r="H108" s="28">
        <f>G108*H123</f>
        <v>26.053645113576</v>
      </c>
    </row>
    <row r="109" spans="1:12" ht="15.75" x14ac:dyDescent="0.25">
      <c r="A109" s="86" t="s">
        <v>7</v>
      </c>
      <c r="B109" s="27"/>
      <c r="C109" s="27"/>
      <c r="D109" s="27"/>
      <c r="E109" s="27"/>
      <c r="F109" s="12" t="s">
        <v>116</v>
      </c>
      <c r="G109" s="52">
        <v>0.01</v>
      </c>
      <c r="H109" s="28">
        <f>SUM(H108+H123)*$G$109</f>
        <v>26.31418156471176</v>
      </c>
    </row>
    <row r="110" spans="1:12" ht="15.75" x14ac:dyDescent="0.25">
      <c r="A110" s="86" t="s">
        <v>9</v>
      </c>
      <c r="B110" s="27"/>
      <c r="C110" s="27"/>
      <c r="D110" s="27"/>
      <c r="E110" s="27"/>
      <c r="F110" s="12" t="s">
        <v>117</v>
      </c>
      <c r="G110" s="87">
        <f>SUM(G111:G115)</f>
        <v>8.6499999999999994E-2</v>
      </c>
      <c r="H110" s="28">
        <f>H112+H113+H115</f>
        <v>251.66266802419736</v>
      </c>
    </row>
    <row r="111" spans="1:12" ht="15.75" x14ac:dyDescent="0.25">
      <c r="A111" s="86" t="s">
        <v>118</v>
      </c>
      <c r="B111" s="27"/>
      <c r="C111" s="27"/>
      <c r="D111" s="27"/>
      <c r="E111" s="27"/>
      <c r="F111" s="88" t="s">
        <v>119</v>
      </c>
      <c r="G111" s="45">
        <v>0</v>
      </c>
      <c r="H111" s="28"/>
      <c r="L111" s="115"/>
    </row>
    <row r="112" spans="1:12" ht="15.75" x14ac:dyDescent="0.25">
      <c r="A112" s="86" t="s">
        <v>120</v>
      </c>
      <c r="B112" s="27"/>
      <c r="C112" s="27"/>
      <c r="D112" s="27"/>
      <c r="E112" s="27"/>
      <c r="F112" s="88" t="s">
        <v>121</v>
      </c>
      <c r="G112" s="52">
        <v>6.4999999999999997E-3</v>
      </c>
      <c r="H112" s="28">
        <f>((H108+H109+H123)/0.9135)*G112</f>
        <v>18.911067539390551</v>
      </c>
      <c r="J112" s="120"/>
      <c r="L112" s="115"/>
    </row>
    <row r="113" spans="1:13" ht="15.75" x14ac:dyDescent="0.25">
      <c r="A113" s="86" t="s">
        <v>122</v>
      </c>
      <c r="B113" s="27"/>
      <c r="C113" s="27"/>
      <c r="D113" s="27"/>
      <c r="E113" s="27"/>
      <c r="F113" s="88" t="s">
        <v>123</v>
      </c>
      <c r="G113" s="52">
        <v>0.03</v>
      </c>
      <c r="H113" s="28">
        <f>((H108+H109+H123)/0.9135)*G113</f>
        <v>87.281850181802554</v>
      </c>
    </row>
    <row r="114" spans="1:13" ht="15.75" x14ac:dyDescent="0.25">
      <c r="A114" s="86" t="s">
        <v>124</v>
      </c>
      <c r="B114" s="27"/>
      <c r="C114" s="27"/>
      <c r="D114" s="27"/>
      <c r="E114" s="27"/>
      <c r="F114" s="88" t="s">
        <v>125</v>
      </c>
      <c r="G114" s="45">
        <v>0</v>
      </c>
      <c r="H114" s="28"/>
      <c r="M114" s="115"/>
    </row>
    <row r="115" spans="1:13" ht="15.75" x14ac:dyDescent="0.25">
      <c r="A115" s="86" t="s">
        <v>126</v>
      </c>
      <c r="B115" s="27"/>
      <c r="C115" s="27"/>
      <c r="D115" s="27"/>
      <c r="E115" s="27"/>
      <c r="F115" s="88" t="s">
        <v>127</v>
      </c>
      <c r="G115" s="45">
        <v>0.05</v>
      </c>
      <c r="H115" s="28">
        <f>((H108+H109+H123)/0.9135)*G115</f>
        <v>145.46975030300425</v>
      </c>
    </row>
    <row r="116" spans="1:13" ht="15.75" x14ac:dyDescent="0.25">
      <c r="A116" s="73"/>
      <c r="B116" s="55" t="s">
        <v>45</v>
      </c>
      <c r="C116" s="55"/>
      <c r="D116" s="41"/>
      <c r="E116" s="41"/>
      <c r="F116" s="74"/>
      <c r="G116" s="57">
        <f>G110+G109+G108</f>
        <v>0.10649999999999998</v>
      </c>
      <c r="H116" s="58">
        <f>H108+H109+H110</f>
        <v>304.0304947024851</v>
      </c>
    </row>
    <row r="117" spans="1:13" ht="15.75" x14ac:dyDescent="0.25">
      <c r="A117" s="89"/>
      <c r="B117" s="271" t="s">
        <v>128</v>
      </c>
      <c r="C117" s="271"/>
      <c r="D117" s="271"/>
      <c r="E117" s="271"/>
      <c r="F117" s="271"/>
      <c r="G117" s="271"/>
      <c r="H117" s="271"/>
    </row>
    <row r="118" spans="1:13" ht="15.75" x14ac:dyDescent="0.25">
      <c r="A118" s="90" t="s">
        <v>4</v>
      </c>
      <c r="B118" s="27" t="s">
        <v>30</v>
      </c>
      <c r="C118" s="27"/>
      <c r="D118" s="27"/>
      <c r="E118" s="27"/>
      <c r="F118" s="28"/>
      <c r="G118" s="45">
        <f>SUM(H118/H$125)</f>
        <v>0.48487606428883318</v>
      </c>
      <c r="H118" s="28">
        <f>SUM(H37)</f>
        <v>1410.6959999999999</v>
      </c>
    </row>
    <row r="119" spans="1:13" ht="15.75" x14ac:dyDescent="0.25">
      <c r="A119" s="90" t="s">
        <v>7</v>
      </c>
      <c r="B119" s="27" t="s">
        <v>129</v>
      </c>
      <c r="C119" s="27"/>
      <c r="D119" s="27"/>
      <c r="E119" s="27"/>
      <c r="F119" s="28"/>
      <c r="G119" s="45">
        <f>SUM(H119/H$125)</f>
        <v>0.34953343551913629</v>
      </c>
      <c r="H119" s="28">
        <f>H71</f>
        <v>1016.9308317503999</v>
      </c>
    </row>
    <row r="120" spans="1:13" ht="15.75" x14ac:dyDescent="0.25">
      <c r="A120" s="90" t="s">
        <v>9</v>
      </c>
      <c r="B120" s="27" t="s">
        <v>130</v>
      </c>
      <c r="C120" s="27"/>
      <c r="D120" s="27"/>
      <c r="E120" s="27"/>
      <c r="F120" s="28"/>
      <c r="G120" s="45">
        <f>SUM(H120/H$125)</f>
        <v>1.5212348219135552E-2</v>
      </c>
      <c r="H120" s="28">
        <f>H79</f>
        <v>44.258729939200002</v>
      </c>
    </row>
    <row r="121" spans="1:13" ht="15.75" x14ac:dyDescent="0.25">
      <c r="A121" s="90" t="s">
        <v>17</v>
      </c>
      <c r="B121" s="27" t="s">
        <v>131</v>
      </c>
      <c r="C121" s="27"/>
      <c r="D121" s="27"/>
      <c r="E121" s="27"/>
      <c r="F121" s="28"/>
      <c r="G121" s="45">
        <f>SUM(H121/H$125)</f>
        <v>1.8144304763720281E-2</v>
      </c>
      <c r="H121" s="28">
        <f>H99</f>
        <v>52.788949668000001</v>
      </c>
    </row>
    <row r="122" spans="1:13" ht="15.75" x14ac:dyDescent="0.25">
      <c r="A122" s="90" t="s">
        <v>40</v>
      </c>
      <c r="B122" s="27" t="s">
        <v>110</v>
      </c>
      <c r="C122" s="27"/>
      <c r="D122" s="27"/>
      <c r="E122" s="27"/>
      <c r="F122" s="28"/>
      <c r="G122" s="45">
        <f>H122/H125</f>
        <v>2.7734288342396909E-2</v>
      </c>
      <c r="H122" s="28">
        <f>H106</f>
        <v>80.69</v>
      </c>
    </row>
    <row r="123" spans="1:13" ht="15.75" x14ac:dyDescent="0.25">
      <c r="A123" s="90"/>
      <c r="B123" s="27" t="s">
        <v>132</v>
      </c>
      <c r="C123" s="27"/>
      <c r="D123" s="27"/>
      <c r="E123" s="27"/>
      <c r="F123" s="28"/>
      <c r="G123" s="45">
        <f>SUM(G118:G122)</f>
        <v>0.89550044113322214</v>
      </c>
      <c r="H123" s="28">
        <f>SUM(H118:H122)</f>
        <v>2605.3645113575999</v>
      </c>
      <c r="L123">
        <v>2594.79</v>
      </c>
    </row>
    <row r="124" spans="1:13" ht="15.75" x14ac:dyDescent="0.25">
      <c r="A124" s="90" t="s">
        <v>40</v>
      </c>
      <c r="B124" s="27" t="s">
        <v>133</v>
      </c>
      <c r="C124" s="27"/>
      <c r="D124" s="27"/>
      <c r="E124" s="27"/>
      <c r="F124" s="28"/>
      <c r="G124" s="45">
        <f>SUM(H124/H$125)</f>
        <v>0.10449955886677777</v>
      </c>
      <c r="H124" s="28">
        <f>H110+H109+H108</f>
        <v>304.0304947024851</v>
      </c>
      <c r="I124" s="115"/>
      <c r="L124" s="115">
        <v>598.04999999999995</v>
      </c>
      <c r="M124" s="115"/>
    </row>
    <row r="125" spans="1:13" ht="15.75" x14ac:dyDescent="0.25">
      <c r="A125" s="55"/>
      <c r="B125" s="55" t="s">
        <v>134</v>
      </c>
      <c r="C125" s="55"/>
      <c r="D125" s="55"/>
      <c r="E125" s="55"/>
      <c r="F125" s="55"/>
      <c r="G125" s="55">
        <f>SUM(G123+G124)</f>
        <v>0.99999999999999989</v>
      </c>
      <c r="H125" s="91">
        <f>H124+H123</f>
        <v>2909.3950060600851</v>
      </c>
      <c r="I125" s="115">
        <f>H123+H124</f>
        <v>2909.3950060600851</v>
      </c>
      <c r="J125" s="115"/>
      <c r="L125">
        <v>3192.84</v>
      </c>
    </row>
    <row r="126" spans="1:13" ht="15.75" x14ac:dyDescent="0.25">
      <c r="A126" s="92"/>
      <c r="B126" s="271" t="s">
        <v>135</v>
      </c>
      <c r="C126" s="271"/>
      <c r="D126" s="271"/>
      <c r="E126" s="271"/>
      <c r="F126" s="271"/>
      <c r="G126" s="271"/>
      <c r="H126" s="271"/>
      <c r="L126" s="115"/>
    </row>
    <row r="127" spans="1:13" ht="47.25" x14ac:dyDescent="0.25">
      <c r="A127" s="27"/>
      <c r="B127" s="16" t="s">
        <v>20</v>
      </c>
      <c r="C127" s="16"/>
      <c r="D127" s="93" t="s">
        <v>136</v>
      </c>
      <c r="E127" s="93" t="s">
        <v>137</v>
      </c>
      <c r="F127" s="94" t="s">
        <v>138</v>
      </c>
      <c r="G127" s="93" t="s">
        <v>139</v>
      </c>
      <c r="H127" s="95" t="s">
        <v>140</v>
      </c>
      <c r="L127" s="115"/>
    </row>
    <row r="128" spans="1:13"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2909.3950060600851</v>
      </c>
      <c r="E129" s="100">
        <v>5</v>
      </c>
      <c r="F129" s="99">
        <f>D129*E129</f>
        <v>14546.975030300426</v>
      </c>
      <c r="G129" s="101">
        <v>5</v>
      </c>
      <c r="H129" s="28">
        <f>E129*D129</f>
        <v>14546.975030300426</v>
      </c>
    </row>
    <row r="130" spans="1:8" ht="15.75" x14ac:dyDescent="0.25">
      <c r="A130" s="27"/>
      <c r="B130" s="102" t="s">
        <v>147</v>
      </c>
      <c r="C130" s="102"/>
      <c r="D130" s="103"/>
      <c r="E130" s="103"/>
      <c r="F130" s="103"/>
      <c r="G130" s="103"/>
      <c r="H130" s="104">
        <f>SUM(H129)</f>
        <v>14546.975030300426</v>
      </c>
    </row>
    <row r="131" spans="1:8" ht="15.75" x14ac:dyDescent="0.25">
      <c r="A131" s="27"/>
      <c r="B131" s="16"/>
      <c r="C131" s="16"/>
      <c r="D131" s="105"/>
      <c r="E131" s="16"/>
      <c r="F131" s="16"/>
      <c r="G131" s="16"/>
      <c r="H131" s="16"/>
    </row>
    <row r="132" spans="1:8" ht="15.75" x14ac:dyDescent="0.25">
      <c r="A132" s="83"/>
      <c r="B132" s="271" t="s">
        <v>148</v>
      </c>
      <c r="C132" s="271"/>
      <c r="D132" s="271"/>
      <c r="E132" s="271"/>
      <c r="F132" s="271"/>
      <c r="G132" s="271"/>
      <c r="H132" s="271"/>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2909.3950060600851</v>
      </c>
    </row>
    <row r="135" spans="1:8" ht="15.75" x14ac:dyDescent="0.25">
      <c r="A135" s="108" t="s">
        <v>7</v>
      </c>
      <c r="B135" s="109" t="s">
        <v>152</v>
      </c>
      <c r="C135" s="109"/>
      <c r="D135" s="109"/>
      <c r="E135" s="13"/>
      <c r="F135" s="13"/>
      <c r="G135" s="13"/>
      <c r="H135" s="107">
        <f>H130</f>
        <v>14546.975030300426</v>
      </c>
    </row>
    <row r="136" spans="1:8" ht="15.75" x14ac:dyDescent="0.25">
      <c r="A136" s="108" t="s">
        <v>17</v>
      </c>
      <c r="B136" s="7" t="s">
        <v>153</v>
      </c>
      <c r="C136" s="7"/>
      <c r="D136" s="109"/>
      <c r="E136" s="13"/>
      <c r="F136" s="13"/>
      <c r="G136" s="100">
        <v>12</v>
      </c>
      <c r="H136" s="107">
        <f>SUM(H135*G136)</f>
        <v>174563.70036360511</v>
      </c>
    </row>
    <row r="137" spans="1:8" ht="15.75" x14ac:dyDescent="0.25">
      <c r="A137" s="6"/>
      <c r="B137" s="6"/>
      <c r="C137" s="6"/>
      <c r="D137" s="6"/>
      <c r="E137" s="6"/>
      <c r="F137" s="6"/>
      <c r="G137" s="6"/>
      <c r="H137" s="6"/>
    </row>
    <row r="140" spans="1:8" x14ac:dyDescent="0.25">
      <c r="A140" s="150" t="s">
        <v>203</v>
      </c>
      <c r="B140" s="150"/>
    </row>
    <row r="141" spans="1:8" x14ac:dyDescent="0.25">
      <c r="A141" s="150" t="s">
        <v>204</v>
      </c>
      <c r="B141" s="150"/>
    </row>
    <row r="142" spans="1:8" x14ac:dyDescent="0.25">
      <c r="A142" s="150" t="s">
        <v>205</v>
      </c>
      <c r="B142" s="150"/>
    </row>
    <row r="143" spans="1:8" x14ac:dyDescent="0.25">
      <c r="A143" s="150"/>
      <c r="B143" s="150"/>
    </row>
    <row r="144" spans="1:8" x14ac:dyDescent="0.25">
      <c r="A144" s="150" t="s">
        <v>206</v>
      </c>
      <c r="B144" s="150"/>
    </row>
    <row r="146" spans="1:6" x14ac:dyDescent="0.25">
      <c r="A146" t="s">
        <v>207</v>
      </c>
    </row>
    <row r="147" spans="1:6" x14ac:dyDescent="0.25">
      <c r="A147" s="150" t="s">
        <v>208</v>
      </c>
    </row>
    <row r="148" spans="1:6" x14ac:dyDescent="0.25">
      <c r="A148" s="150" t="s">
        <v>209</v>
      </c>
    </row>
    <row r="149" spans="1:6" x14ac:dyDescent="0.25">
      <c r="A149" s="150"/>
    </row>
    <row r="150" spans="1:6" x14ac:dyDescent="0.25">
      <c r="A150" s="150" t="s">
        <v>210</v>
      </c>
    </row>
    <row r="151" spans="1:6" x14ac:dyDescent="0.25">
      <c r="A151" s="150"/>
    </row>
    <row r="152" spans="1:6" x14ac:dyDescent="0.25">
      <c r="A152" s="150" t="s">
        <v>211</v>
      </c>
    </row>
    <row r="153" spans="1:6" x14ac:dyDescent="0.25">
      <c r="A153" s="150" t="s">
        <v>212</v>
      </c>
    </row>
    <row r="154" spans="1:6" x14ac:dyDescent="0.25">
      <c r="A154" s="150"/>
    </row>
    <row r="155" spans="1:6" x14ac:dyDescent="0.25">
      <c r="A155" s="150" t="s">
        <v>206</v>
      </c>
    </row>
    <row r="156" spans="1:6" x14ac:dyDescent="0.25">
      <c r="A156" s="150" t="s">
        <v>222</v>
      </c>
    </row>
    <row r="157" spans="1:6" x14ac:dyDescent="0.25">
      <c r="B157" s="151" t="s">
        <v>213</v>
      </c>
      <c r="C157" s="152"/>
      <c r="D157" s="152"/>
      <c r="E157" s="152"/>
      <c r="F157" s="152"/>
    </row>
    <row r="158" spans="1:6" x14ac:dyDescent="0.25">
      <c r="B158" s="151"/>
      <c r="C158" s="152"/>
      <c r="D158" s="152"/>
      <c r="E158" s="152"/>
      <c r="F158" s="152"/>
    </row>
    <row r="159" spans="1:6" x14ac:dyDescent="0.25">
      <c r="B159" s="151" t="s">
        <v>214</v>
      </c>
      <c r="C159" s="152" t="s">
        <v>215</v>
      </c>
      <c r="D159" s="152" t="s">
        <v>216</v>
      </c>
      <c r="E159" s="152" t="s">
        <v>217</v>
      </c>
      <c r="F159" s="152" t="s">
        <v>218</v>
      </c>
    </row>
    <row r="160" spans="1:6" x14ac:dyDescent="0.25">
      <c r="B160" s="151" t="s">
        <v>219</v>
      </c>
      <c r="C160" s="153">
        <v>1.6500000000000001E-2</v>
      </c>
      <c r="D160" s="153">
        <v>7.5999999999999998E-2</v>
      </c>
      <c r="E160" s="154">
        <v>0.05</v>
      </c>
      <c r="F160" s="152">
        <v>0.85750000000000004</v>
      </c>
    </row>
    <row r="161" spans="1:6" x14ac:dyDescent="0.25">
      <c r="B161" s="151" t="s">
        <v>220</v>
      </c>
      <c r="C161" s="153">
        <v>6.4999999999999997E-3</v>
      </c>
      <c r="D161" s="154">
        <v>0.03</v>
      </c>
      <c r="E161" s="154">
        <v>0.05</v>
      </c>
      <c r="F161" s="152">
        <v>0.91349999999999998</v>
      </c>
    </row>
    <row r="162" spans="1:6" x14ac:dyDescent="0.25">
      <c r="B162" s="151" t="s">
        <v>221</v>
      </c>
      <c r="C162" s="153">
        <v>4.4000000000000003E-3</v>
      </c>
      <c r="D162" s="153">
        <v>2.35E-2</v>
      </c>
      <c r="E162" s="154">
        <v>0.05</v>
      </c>
      <c r="F162" s="152">
        <v>0.92210000000000003</v>
      </c>
    </row>
    <row r="164" spans="1:6" x14ac:dyDescent="0.25">
      <c r="A164" s="156" t="s">
        <v>224</v>
      </c>
    </row>
  </sheetData>
  <dataConsolidate/>
  <mergeCells count="51">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0">
      <formula1>$J$28:$J$31</formula1>
      <formula2>0</formula2>
    </dataValidation>
    <dataValidation type="list" operator="equal" allowBlank="1" showErrorMessage="1" promptTitle="Percentual" sqref="E30">
      <formula1>$K$28:$K$31</formula1>
      <formula2>0</formula2>
    </dataValidation>
  </dataValidations>
  <pageMargins left="0.7" right="0.7" top="0.75" bottom="0.75" header="0.3" footer="0.3"/>
  <pageSetup scale="45"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4"/>
  <sheetViews>
    <sheetView topLeftCell="A118" zoomScale="70" zoomScaleNormal="70" workbookViewId="0">
      <selection activeCell="H83" sqref="H83"/>
    </sheetView>
  </sheetViews>
  <sheetFormatPr defaultRowHeight="15" x14ac:dyDescent="0.25"/>
  <cols>
    <col min="1" max="1" width="4.85546875"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2.5703125"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273" t="s">
        <v>3</v>
      </c>
      <c r="B3" s="273"/>
      <c r="C3" s="273"/>
      <c r="D3" s="273"/>
      <c r="E3" s="273"/>
      <c r="F3" s="273"/>
      <c r="G3" s="273"/>
      <c r="H3" s="273"/>
    </row>
    <row r="4" spans="1:8" ht="15.75" x14ac:dyDescent="0.25">
      <c r="A4" s="6" t="s">
        <v>4</v>
      </c>
      <c r="B4" s="7" t="s">
        <v>5</v>
      </c>
      <c r="C4" s="7"/>
      <c r="D4" s="8"/>
      <c r="E4" s="291" t="s">
        <v>6</v>
      </c>
      <c r="F4" s="291"/>
      <c r="G4" s="291"/>
      <c r="H4" s="291"/>
    </row>
    <row r="5" spans="1:8" ht="15.75" x14ac:dyDescent="0.25">
      <c r="A5" s="6" t="s">
        <v>7</v>
      </c>
      <c r="B5" s="7" t="s">
        <v>8</v>
      </c>
      <c r="C5" s="7"/>
      <c r="D5" s="9"/>
      <c r="E5" s="291"/>
      <c r="F5" s="291"/>
      <c r="G5" s="291"/>
      <c r="H5" s="291"/>
    </row>
    <row r="6" spans="1:8" ht="15.75" x14ac:dyDescent="0.25">
      <c r="A6" s="6" t="s">
        <v>9</v>
      </c>
      <c r="B6" s="7" t="s">
        <v>10</v>
      </c>
      <c r="C6" s="7"/>
      <c r="D6" s="10" t="s">
        <v>11</v>
      </c>
      <c r="E6" s="291"/>
      <c r="F6" s="291"/>
      <c r="G6" s="291"/>
      <c r="H6" s="291"/>
    </row>
    <row r="7" spans="1:8" ht="15.75" x14ac:dyDescent="0.25">
      <c r="A7" s="292"/>
      <c r="B7" s="292"/>
      <c r="C7" s="292"/>
      <c r="D7" s="292"/>
      <c r="E7" s="11"/>
      <c r="F7" s="11"/>
      <c r="G7" s="11"/>
      <c r="H7" s="11"/>
    </row>
    <row r="8" spans="1:8" ht="15.75" x14ac:dyDescent="0.25">
      <c r="A8" s="273" t="s">
        <v>12</v>
      </c>
      <c r="B8" s="273"/>
      <c r="C8" s="273"/>
      <c r="D8" s="273"/>
      <c r="E8" s="273"/>
      <c r="F8" s="273"/>
      <c r="G8" s="273"/>
      <c r="H8" s="273"/>
    </row>
    <row r="9" spans="1:8" x14ac:dyDescent="0.25">
      <c r="A9" s="12" t="s">
        <v>4</v>
      </c>
      <c r="B9" s="13" t="s">
        <v>13</v>
      </c>
      <c r="C9" s="13"/>
      <c r="D9" s="285" t="s">
        <v>14</v>
      </c>
      <c r="E9" s="285"/>
      <c r="F9" s="285"/>
      <c r="G9" s="285"/>
      <c r="H9" s="285"/>
    </row>
    <row r="10" spans="1:8" x14ac:dyDescent="0.25">
      <c r="A10" s="12" t="s">
        <v>7</v>
      </c>
      <c r="B10" s="13" t="s">
        <v>15</v>
      </c>
      <c r="C10" s="13"/>
      <c r="D10" s="293" t="s">
        <v>185</v>
      </c>
      <c r="E10" s="293"/>
      <c r="F10" s="293"/>
      <c r="G10" s="293"/>
      <c r="H10" s="293"/>
    </row>
    <row r="11" spans="1:8" x14ac:dyDescent="0.25">
      <c r="A11" s="12" t="s">
        <v>9</v>
      </c>
      <c r="B11" s="13" t="s">
        <v>16</v>
      </c>
      <c r="C11" s="13"/>
      <c r="D11" s="293" t="s">
        <v>174</v>
      </c>
      <c r="E11" s="293"/>
      <c r="F11" s="293"/>
      <c r="G11" s="293"/>
      <c r="H11" s="293"/>
    </row>
    <row r="12" spans="1:8" x14ac:dyDescent="0.25">
      <c r="A12" s="12" t="s">
        <v>17</v>
      </c>
      <c r="B12" s="13" t="s">
        <v>18</v>
      </c>
      <c r="C12" s="13"/>
      <c r="D12" s="293">
        <v>12</v>
      </c>
      <c r="E12" s="293"/>
      <c r="F12" s="293"/>
      <c r="G12" s="293"/>
      <c r="H12" s="293"/>
    </row>
    <row r="13" spans="1:8" x14ac:dyDescent="0.25">
      <c r="A13" s="12"/>
      <c r="B13" s="13"/>
      <c r="C13" s="13"/>
      <c r="D13" s="14"/>
      <c r="E13" s="14"/>
      <c r="F13" s="14"/>
      <c r="G13" s="14"/>
      <c r="H13" s="15"/>
    </row>
    <row r="14" spans="1:8" ht="15.75" x14ac:dyDescent="0.25">
      <c r="A14" s="273" t="s">
        <v>19</v>
      </c>
      <c r="B14" s="273"/>
      <c r="C14" s="273"/>
      <c r="D14" s="273"/>
      <c r="E14" s="273"/>
      <c r="F14" s="273"/>
      <c r="G14" s="273"/>
      <c r="H14" s="273"/>
    </row>
    <row r="15" spans="1:8" ht="15.75" x14ac:dyDescent="0.25">
      <c r="A15" s="12"/>
      <c r="B15" s="16" t="s">
        <v>20</v>
      </c>
      <c r="C15" s="16"/>
      <c r="D15" s="17" t="s">
        <v>21</v>
      </c>
      <c r="E15" s="294" t="s">
        <v>22</v>
      </c>
      <c r="F15" s="294"/>
      <c r="G15" s="294"/>
      <c r="H15" s="294"/>
    </row>
    <row r="16" spans="1:8" x14ac:dyDescent="0.25">
      <c r="A16" s="12" t="s">
        <v>4</v>
      </c>
      <c r="B16" s="18" t="s">
        <v>180</v>
      </c>
      <c r="C16" s="19"/>
      <c r="D16" s="20" t="s">
        <v>23</v>
      </c>
      <c r="E16" s="295">
        <v>1</v>
      </c>
      <c r="F16" s="295"/>
      <c r="G16" s="295"/>
      <c r="H16" s="295"/>
    </row>
    <row r="17" spans="1:9" x14ac:dyDescent="0.25">
      <c r="A17" s="12" t="s">
        <v>7</v>
      </c>
      <c r="B17" s="13"/>
      <c r="C17" s="13"/>
      <c r="D17" s="21"/>
      <c r="E17" s="283"/>
      <c r="F17" s="283"/>
      <c r="G17" s="283"/>
      <c r="H17" s="283"/>
    </row>
    <row r="18" spans="1:9" x14ac:dyDescent="0.25">
      <c r="A18" s="12" t="s">
        <v>9</v>
      </c>
      <c r="B18" s="13"/>
      <c r="C18" s="13"/>
      <c r="D18" s="21"/>
      <c r="E18" s="283"/>
      <c r="F18" s="283"/>
      <c r="G18" s="283"/>
      <c r="H18" s="283"/>
    </row>
    <row r="19" spans="1:9" ht="15.75" x14ac:dyDescent="0.25">
      <c r="A19" s="110"/>
      <c r="B19" s="273" t="s">
        <v>24</v>
      </c>
      <c r="C19" s="273"/>
      <c r="D19" s="273"/>
      <c r="E19" s="273"/>
      <c r="F19" s="273"/>
      <c r="G19" s="273"/>
      <c r="H19" s="273"/>
    </row>
    <row r="20" spans="1:9" ht="15.75" x14ac:dyDescent="0.25">
      <c r="A20" s="284" t="s">
        <v>25</v>
      </c>
      <c r="B20" s="284"/>
      <c r="C20" s="284"/>
      <c r="D20" s="284"/>
      <c r="E20" s="284"/>
      <c r="F20" s="284"/>
      <c r="G20" s="284"/>
      <c r="H20" s="284"/>
    </row>
    <row r="21" spans="1:9" x14ac:dyDescent="0.25">
      <c r="A21" s="12">
        <v>1</v>
      </c>
      <c r="B21" s="13" t="s">
        <v>20</v>
      </c>
      <c r="C21" s="13"/>
      <c r="D21" s="285" t="s">
        <v>181</v>
      </c>
      <c r="E21" s="285"/>
      <c r="F21" s="285"/>
      <c r="G21" s="285"/>
      <c r="H21" s="285"/>
    </row>
    <row r="22" spans="1:9" x14ac:dyDescent="0.25">
      <c r="A22" s="12">
        <v>2</v>
      </c>
      <c r="B22" s="13" t="s">
        <v>26</v>
      </c>
      <c r="C22" s="13"/>
      <c r="D22" s="286" t="s">
        <v>176</v>
      </c>
      <c r="E22" s="286"/>
      <c r="F22" s="286"/>
      <c r="G22" s="286"/>
      <c r="H22" s="286"/>
    </row>
    <row r="23" spans="1:9" x14ac:dyDescent="0.25">
      <c r="A23" s="12">
        <v>3</v>
      </c>
      <c r="B23" s="13" t="s">
        <v>27</v>
      </c>
      <c r="C23" s="13"/>
      <c r="D23" s="22">
        <v>1134.1099999999999</v>
      </c>
      <c r="E23" s="23"/>
      <c r="F23" s="23"/>
      <c r="G23" s="23"/>
      <c r="H23" s="23"/>
    </row>
    <row r="24" spans="1:9" ht="30" x14ac:dyDescent="0.25">
      <c r="A24" s="1">
        <v>4</v>
      </c>
      <c r="B24" s="24" t="s">
        <v>28</v>
      </c>
      <c r="C24" s="24"/>
      <c r="D24" s="287" t="s">
        <v>170</v>
      </c>
      <c r="E24" s="287"/>
      <c r="F24" s="287"/>
      <c r="G24" s="287"/>
      <c r="H24" s="287"/>
    </row>
    <row r="25" spans="1:9" x14ac:dyDescent="0.25">
      <c r="A25" s="1">
        <v>5</v>
      </c>
      <c r="B25" s="25" t="s">
        <v>29</v>
      </c>
      <c r="C25" s="25"/>
      <c r="D25" s="288" t="s">
        <v>171</v>
      </c>
      <c r="E25" s="288"/>
      <c r="F25" s="288"/>
      <c r="G25" s="288"/>
      <c r="H25" s="288"/>
    </row>
    <row r="26" spans="1:9" ht="15.75" x14ac:dyDescent="0.25">
      <c r="A26" s="26">
        <v>1</v>
      </c>
      <c r="B26" s="271" t="s">
        <v>30</v>
      </c>
      <c r="C26" s="271"/>
      <c r="D26" s="271"/>
      <c r="E26" s="271"/>
      <c r="F26" s="271"/>
      <c r="G26" s="271"/>
      <c r="H26" s="271"/>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289" t="s">
        <v>46</v>
      </c>
      <c r="C39" s="289"/>
      <c r="D39" s="289"/>
      <c r="E39" s="289"/>
      <c r="F39" s="289"/>
      <c r="G39" s="289"/>
      <c r="H39" s="289"/>
    </row>
    <row r="40" spans="1:9" ht="15.75" x14ac:dyDescent="0.25">
      <c r="A40" s="124" t="s">
        <v>47</v>
      </c>
      <c r="B40" s="290" t="s">
        <v>48</v>
      </c>
      <c r="C40" s="290"/>
      <c r="D40" s="290"/>
      <c r="E40" s="290"/>
      <c r="F40" s="290"/>
      <c r="G40" s="290"/>
      <c r="H40" s="290"/>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273" t="s">
        <v>53</v>
      </c>
      <c r="C45" s="273"/>
      <c r="D45" s="273"/>
      <c r="E45" s="273"/>
      <c r="F45" s="273"/>
      <c r="G45" s="273"/>
      <c r="H45" s="273"/>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282" t="s">
        <v>56</v>
      </c>
      <c r="E47" s="282"/>
      <c r="F47" s="28"/>
      <c r="G47" s="52">
        <v>1.4999999999999999E-2</v>
      </c>
      <c r="H47" s="28">
        <f>SUM($H$38*G47)</f>
        <v>17.011649999999999</v>
      </c>
      <c r="I47" s="115"/>
    </row>
    <row r="48" spans="1:9" ht="15.75" x14ac:dyDescent="0.25">
      <c r="A48" s="1" t="s">
        <v>9</v>
      </c>
      <c r="B48" s="51" t="s">
        <v>57</v>
      </c>
      <c r="C48" s="51"/>
      <c r="D48" s="282"/>
      <c r="E48" s="282"/>
      <c r="F48" s="28"/>
      <c r="G48" s="52">
        <v>0.01</v>
      </c>
      <c r="H48" s="28">
        <f t="shared" ref="H48" si="0">SUM($H$38*G48)</f>
        <v>11.341099999999999</v>
      </c>
    </row>
    <row r="49" spans="1:13" ht="15.75" x14ac:dyDescent="0.25">
      <c r="A49" s="1" t="s">
        <v>17</v>
      </c>
      <c r="B49" s="51" t="s">
        <v>58</v>
      </c>
      <c r="C49" s="51"/>
      <c r="D49" s="27"/>
      <c r="E49" s="27"/>
      <c r="F49" s="28"/>
      <c r="G49" s="52">
        <v>2E-3</v>
      </c>
      <c r="H49" s="28">
        <f>SUM($H$38*G49)</f>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SUM($H$38*G51)</f>
        <v>90.728799999999993</v>
      </c>
    </row>
    <row r="52" spans="1:13" ht="15.75" x14ac:dyDescent="0.25">
      <c r="A52" s="127" t="s">
        <v>61</v>
      </c>
      <c r="B52" s="128" t="s">
        <v>62</v>
      </c>
      <c r="C52" s="128"/>
      <c r="D52" s="129"/>
      <c r="E52" s="129"/>
      <c r="F52" s="129"/>
      <c r="G52" s="130">
        <v>0.03</v>
      </c>
      <c r="H52" s="131">
        <f>SUM($H$38*G52)</f>
        <v>34.023299999999999</v>
      </c>
    </row>
    <row r="53" spans="1:13" ht="15.75" x14ac:dyDescent="0.25">
      <c r="A53" s="1" t="s">
        <v>43</v>
      </c>
      <c r="B53" s="51" t="s">
        <v>63</v>
      </c>
      <c r="C53" s="51"/>
      <c r="D53" s="27"/>
      <c r="E53" s="27"/>
      <c r="F53" s="28"/>
      <c r="G53" s="52">
        <v>6.0000000000000001E-3</v>
      </c>
      <c r="H53" s="28">
        <f>SUM($H$38*G53)</f>
        <v>6.8046599999999993</v>
      </c>
      <c r="I53" s="121"/>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273" t="s">
        <v>65</v>
      </c>
      <c r="C55" s="273"/>
      <c r="D55" s="273"/>
      <c r="E55" s="273"/>
      <c r="F55" s="273"/>
      <c r="G55" s="273"/>
      <c r="H55" s="273"/>
    </row>
    <row r="56" spans="1:13" ht="15.75" x14ac:dyDescent="0.25">
      <c r="A56" s="6" t="s">
        <v>66</v>
      </c>
      <c r="B56" s="59"/>
      <c r="C56" s="59"/>
      <c r="D56" s="60" t="s">
        <v>67</v>
      </c>
      <c r="E56" s="60" t="s">
        <v>68</v>
      </c>
      <c r="F56" s="60" t="s">
        <v>69</v>
      </c>
      <c r="G56" s="60" t="s">
        <v>70</v>
      </c>
      <c r="H56" s="6"/>
    </row>
    <row r="57" spans="1:13" ht="15.75" x14ac:dyDescent="0.25">
      <c r="A57" s="274" t="s">
        <v>4</v>
      </c>
      <c r="B57" s="6" t="s">
        <v>71</v>
      </c>
      <c r="C57" s="6"/>
      <c r="D57" s="275"/>
      <c r="E57" s="276"/>
      <c r="F57" s="277"/>
      <c r="G57" s="278"/>
      <c r="H57" s="35">
        <f>F57*E57*D57</f>
        <v>0</v>
      </c>
    </row>
    <row r="58" spans="1:13" ht="15.75" x14ac:dyDescent="0.25">
      <c r="A58" s="274"/>
      <c r="B58" s="6" t="s">
        <v>72</v>
      </c>
      <c r="C58" s="6"/>
      <c r="D58" s="275"/>
      <c r="E58" s="275"/>
      <c r="F58" s="275"/>
      <c r="G58" s="275"/>
      <c r="H58" s="35">
        <f>H27*G57</f>
        <v>0</v>
      </c>
    </row>
    <row r="59" spans="1:13" ht="15.75" x14ac:dyDescent="0.25">
      <c r="A59" s="274"/>
      <c r="B59" s="8" t="s">
        <v>73</v>
      </c>
      <c r="C59" s="8"/>
      <c r="D59" s="8"/>
      <c r="E59" s="27"/>
      <c r="F59" s="27"/>
      <c r="G59" s="61"/>
      <c r="H59" s="35">
        <f>H57-H58</f>
        <v>0</v>
      </c>
    </row>
    <row r="60" spans="1:13" ht="15.75" x14ac:dyDescent="0.25">
      <c r="A60" s="274" t="s">
        <v>7</v>
      </c>
      <c r="B60" s="6" t="s">
        <v>74</v>
      </c>
      <c r="C60" s="6"/>
      <c r="D60" s="275">
        <v>1</v>
      </c>
      <c r="E60" s="276">
        <v>1</v>
      </c>
      <c r="F60" s="277">
        <v>0</v>
      </c>
      <c r="G60" s="278">
        <v>0.2</v>
      </c>
      <c r="H60" s="35">
        <f>F60*E60*D60</f>
        <v>0</v>
      </c>
    </row>
    <row r="61" spans="1:13" ht="15.75" x14ac:dyDescent="0.25">
      <c r="A61" s="274"/>
      <c r="B61" s="6" t="s">
        <v>72</v>
      </c>
      <c r="C61" s="6"/>
      <c r="D61" s="275"/>
      <c r="E61" s="275"/>
      <c r="F61" s="275"/>
      <c r="G61" s="275"/>
      <c r="H61" s="35">
        <f>H60*G60</f>
        <v>0</v>
      </c>
    </row>
    <row r="62" spans="1:13" ht="15.75" x14ac:dyDescent="0.25">
      <c r="A62" s="274"/>
      <c r="B62" s="279" t="s">
        <v>75</v>
      </c>
      <c r="C62" s="279"/>
      <c r="D62" s="279"/>
      <c r="E62" s="279"/>
      <c r="F62" s="13"/>
      <c r="G62" s="13"/>
      <c r="H62" s="35">
        <f>H60-H61</f>
        <v>0</v>
      </c>
    </row>
    <row r="63" spans="1:13" ht="15.75" x14ac:dyDescent="0.25">
      <c r="A63" s="62" t="s">
        <v>9</v>
      </c>
      <c r="B63" s="279" t="s">
        <v>76</v>
      </c>
      <c r="C63" s="279"/>
      <c r="D63" s="279"/>
      <c r="E63" s="279"/>
      <c r="F63" s="13"/>
      <c r="G63" s="13"/>
      <c r="H63" s="35">
        <v>0</v>
      </c>
    </row>
    <row r="64" spans="1:13" ht="15.75" x14ac:dyDescent="0.25">
      <c r="A64" s="62" t="s">
        <v>17</v>
      </c>
      <c r="B64" s="117" t="s">
        <v>177</v>
      </c>
      <c r="C64" s="117"/>
      <c r="D64" s="117"/>
      <c r="E64" s="117" t="s">
        <v>163</v>
      </c>
      <c r="F64" s="13"/>
      <c r="G64" s="13"/>
      <c r="H64" s="35">
        <v>100</v>
      </c>
      <c r="J64" s="125"/>
      <c r="K64" s="13"/>
      <c r="L64" s="13"/>
      <c r="M64" s="35"/>
    </row>
    <row r="65" spans="1:13" ht="15.75" x14ac:dyDescent="0.25">
      <c r="A65" s="62" t="s">
        <v>40</v>
      </c>
      <c r="B65" s="116" t="s">
        <v>223</v>
      </c>
      <c r="C65" s="117"/>
      <c r="D65" s="117"/>
      <c r="E65" s="117"/>
      <c r="F65" s="13"/>
      <c r="G65" s="13"/>
      <c r="H65" s="35">
        <v>3.53</v>
      </c>
      <c r="J65" s="149"/>
      <c r="K65" s="13"/>
      <c r="L65" s="13"/>
      <c r="M65" s="35"/>
    </row>
    <row r="66" spans="1:13" ht="15.75" x14ac:dyDescent="0.25">
      <c r="A66" s="62" t="s">
        <v>42</v>
      </c>
      <c r="B66" s="116" t="s">
        <v>78</v>
      </c>
      <c r="C66" s="116"/>
      <c r="D66" s="116"/>
      <c r="E66" s="118">
        <v>0</v>
      </c>
      <c r="H66" s="35">
        <f>(1/12*(H27+H28+H30))*E66</f>
        <v>0</v>
      </c>
    </row>
    <row r="67" spans="1:13" ht="15.75" x14ac:dyDescent="0.25">
      <c r="A67" s="63"/>
      <c r="B67" s="280" t="s">
        <v>45</v>
      </c>
      <c r="C67" s="280"/>
      <c r="D67" s="280"/>
      <c r="E67" s="280"/>
      <c r="F67" s="64"/>
      <c r="G67" s="64"/>
      <c r="H67" s="65">
        <f>H59+H62+H63+H64+H66+H65</f>
        <v>103.53</v>
      </c>
    </row>
    <row r="68" spans="1:13" ht="15.75" x14ac:dyDescent="0.25">
      <c r="A68" s="273" t="s">
        <v>79</v>
      </c>
      <c r="B68" s="273"/>
      <c r="C68" s="273"/>
      <c r="D68" s="273"/>
      <c r="E68" s="273"/>
      <c r="F68" s="273"/>
      <c r="G68" s="273"/>
      <c r="H68" s="273"/>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103.53</v>
      </c>
    </row>
    <row r="72" spans="1:13" ht="15.75" x14ac:dyDescent="0.25">
      <c r="A72" s="63"/>
      <c r="B72" s="126" t="s">
        <v>45</v>
      </c>
      <c r="C72" s="126"/>
      <c r="D72" s="126"/>
      <c r="E72" s="126"/>
      <c r="F72" s="64"/>
      <c r="G72" s="64"/>
      <c r="H72" s="65">
        <f>SUM(H69:H71)</f>
        <v>837.84626466400005</v>
      </c>
    </row>
    <row r="73" spans="1:13" ht="15.75" x14ac:dyDescent="0.25">
      <c r="A73" s="68">
        <v>3</v>
      </c>
      <c r="B73" s="271" t="s">
        <v>83</v>
      </c>
      <c r="C73" s="271"/>
      <c r="D73" s="271"/>
      <c r="E73" s="271"/>
      <c r="F73" s="271"/>
      <c r="G73" s="271"/>
      <c r="H73" s="271"/>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2.0000000000000001E-4</v>
      </c>
      <c r="H76" s="72">
        <f>(ROUND(SUM($H$38*G76),2))</f>
        <v>0.23</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225</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1E-4</v>
      </c>
      <c r="H79" s="28">
        <f>SUM($H$38*G79)</f>
        <v>0.113411</v>
      </c>
    </row>
    <row r="80" spans="1:13" ht="15.75" x14ac:dyDescent="0.25">
      <c r="A80" s="73"/>
      <c r="B80" s="55" t="s">
        <v>45</v>
      </c>
      <c r="C80" s="55"/>
      <c r="D80" s="41"/>
      <c r="E80" s="41"/>
      <c r="F80" s="74"/>
      <c r="G80" s="57">
        <f>SUM(G74:G79)</f>
        <v>3.1375200000000006E-2</v>
      </c>
      <c r="H80" s="58">
        <f>SUM(H74:H79)</f>
        <v>35.586106072</v>
      </c>
    </row>
    <row r="81" spans="1:9" ht="15.75" x14ac:dyDescent="0.25">
      <c r="A81" s="44">
        <v>4</v>
      </c>
      <c r="B81" s="281" t="s">
        <v>90</v>
      </c>
      <c r="C81" s="281"/>
      <c r="D81" s="281"/>
      <c r="E81" s="281"/>
      <c r="F81" s="281"/>
      <c r="G81" s="281"/>
      <c r="H81" s="281"/>
    </row>
    <row r="82" spans="1:9" ht="15.75" x14ac:dyDescent="0.25">
      <c r="A82" s="75" t="s">
        <v>91</v>
      </c>
      <c r="B82" s="273" t="s">
        <v>236</v>
      </c>
      <c r="C82" s="273"/>
      <c r="D82" s="273"/>
      <c r="E82" s="273"/>
      <c r="F82" s="273"/>
      <c r="G82" s="273"/>
      <c r="H82" s="273"/>
    </row>
    <row r="83" spans="1:9" ht="15.75" x14ac:dyDescent="0.25">
      <c r="A83" s="12" t="s">
        <v>4</v>
      </c>
      <c r="B83" s="51" t="s">
        <v>226</v>
      </c>
      <c r="C83" s="51"/>
      <c r="D83" s="53"/>
      <c r="E83" s="53"/>
      <c r="F83" s="53"/>
      <c r="G83" s="45">
        <f>(G41+G42)/12</f>
        <v>1.7024999999999998E-2</v>
      </c>
      <c r="H83" s="28"/>
    </row>
    <row r="84" spans="1:9" ht="15.75" x14ac:dyDescent="0.25">
      <c r="A84" s="123" t="s">
        <v>7</v>
      </c>
      <c r="B84" s="51" t="s">
        <v>227</v>
      </c>
      <c r="C84" s="272" t="s">
        <v>95</v>
      </c>
      <c r="D84" s="76">
        <v>1</v>
      </c>
      <c r="E84" s="272" t="s">
        <v>96</v>
      </c>
      <c r="F84" s="77">
        <v>1</v>
      </c>
      <c r="G84" s="45">
        <f t="shared" ref="G84:G89" si="1">D84/360*F84</f>
        <v>2.7777777777777779E-3</v>
      </c>
      <c r="H84" s="28">
        <f>SUM(H$38*G84)</f>
        <v>3.1503055555555552</v>
      </c>
    </row>
    <row r="85" spans="1:9" ht="15.75" x14ac:dyDescent="0.25">
      <c r="A85" s="12" t="s">
        <v>9</v>
      </c>
      <c r="B85" s="51" t="s">
        <v>228</v>
      </c>
      <c r="C85" s="272"/>
      <c r="D85" s="76">
        <v>20</v>
      </c>
      <c r="E85" s="272"/>
      <c r="F85" s="77">
        <v>1.4999999999999999E-2</v>
      </c>
      <c r="G85" s="45">
        <f t="shared" si="1"/>
        <v>8.3333333333333328E-4</v>
      </c>
      <c r="H85" s="28">
        <f>SUM(H$38*G85)</f>
        <v>0.94509166666666655</v>
      </c>
    </row>
    <row r="86" spans="1:9" ht="15.75" x14ac:dyDescent="0.25">
      <c r="A86" s="12" t="s">
        <v>17</v>
      </c>
      <c r="B86" s="51" t="s">
        <v>229</v>
      </c>
      <c r="C86" s="272"/>
      <c r="D86" s="76">
        <v>15</v>
      </c>
      <c r="E86" s="272"/>
      <c r="F86" s="78">
        <v>1.3299999999999999E-2</v>
      </c>
      <c r="G86" s="45">
        <f t="shared" si="1"/>
        <v>5.5416666666666657E-4</v>
      </c>
      <c r="H86" s="28">
        <f>SUM(H$38*G86)</f>
        <v>0.62848595833333321</v>
      </c>
    </row>
    <row r="87" spans="1:9" ht="15.75" x14ac:dyDescent="0.25">
      <c r="A87" s="12" t="s">
        <v>40</v>
      </c>
      <c r="B87" s="51" t="s">
        <v>230</v>
      </c>
      <c r="C87" s="272"/>
      <c r="D87" s="76">
        <v>180</v>
      </c>
      <c r="E87" s="272"/>
      <c r="F87" s="77">
        <v>1.8599999999999998E-2</v>
      </c>
      <c r="G87" s="45">
        <f t="shared" si="1"/>
        <v>9.2999999999999992E-3</v>
      </c>
      <c r="H87" s="28">
        <f>SUM(H$38*G87)</f>
        <v>10.547222999999999</v>
      </c>
    </row>
    <row r="88" spans="1:9" ht="15.75" x14ac:dyDescent="0.25">
      <c r="A88" s="12" t="s">
        <v>42</v>
      </c>
      <c r="B88" s="51" t="s">
        <v>231</v>
      </c>
      <c r="C88" s="272"/>
      <c r="D88" s="79">
        <v>5</v>
      </c>
      <c r="E88" s="272"/>
      <c r="F88" s="80">
        <v>1</v>
      </c>
      <c r="G88" s="45">
        <f t="shared" si="1"/>
        <v>1.3888888888888888E-2</v>
      </c>
      <c r="H88" s="81">
        <f>SUM(H$38*G88)</f>
        <v>15.751527777777776</v>
      </c>
    </row>
    <row r="89" spans="1:9" ht="15.75" x14ac:dyDescent="0.25">
      <c r="A89" s="12" t="s">
        <v>61</v>
      </c>
      <c r="B89" s="51" t="s">
        <v>101</v>
      </c>
      <c r="C89" s="272"/>
      <c r="D89" s="79"/>
      <c r="E89" s="272"/>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273" t="s">
        <v>232</v>
      </c>
      <c r="C93" s="273"/>
      <c r="D93" s="273"/>
      <c r="E93" s="273"/>
      <c r="F93" s="273"/>
      <c r="G93" s="273"/>
      <c r="H93" s="273"/>
    </row>
    <row r="94" spans="1:9" ht="15.75" x14ac:dyDescent="0.25">
      <c r="A94" s="12" t="s">
        <v>4</v>
      </c>
      <c r="B94" s="51" t="s">
        <v>234</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273" t="s">
        <v>108</v>
      </c>
      <c r="B97" s="273"/>
      <c r="C97" s="273"/>
      <c r="D97" s="273"/>
      <c r="E97" s="273"/>
      <c r="F97" s="273"/>
      <c r="G97" s="273"/>
      <c r="H97" s="273"/>
    </row>
    <row r="98" spans="1:10" ht="15.75" x14ac:dyDescent="0.25">
      <c r="A98" s="12" t="s">
        <v>91</v>
      </c>
      <c r="B98" s="51" t="s">
        <v>235</v>
      </c>
      <c r="C98" s="51"/>
      <c r="D98" s="53"/>
      <c r="E98" s="53"/>
      <c r="F98" s="53"/>
      <c r="G98" s="45">
        <f>G92</f>
        <v>6.0710699999999999E-2</v>
      </c>
      <c r="H98" s="28">
        <f>H92</f>
        <v>42.438963254999997</v>
      </c>
    </row>
    <row r="99" spans="1:10" ht="15.75" x14ac:dyDescent="0.25">
      <c r="A99" s="12" t="s">
        <v>104</v>
      </c>
      <c r="B99" s="51" t="s">
        <v>233</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273" t="s">
        <v>110</v>
      </c>
      <c r="C101" s="273"/>
      <c r="D101" s="273"/>
      <c r="E101" s="273"/>
      <c r="F101" s="273"/>
      <c r="G101" s="273"/>
      <c r="H101" s="273"/>
    </row>
    <row r="102" spans="1:10" ht="15.75" x14ac:dyDescent="0.25">
      <c r="A102" s="12" t="s">
        <v>4</v>
      </c>
      <c r="B102" s="13" t="s">
        <v>111</v>
      </c>
      <c r="C102" s="13"/>
      <c r="D102" s="84"/>
      <c r="E102" s="27"/>
      <c r="F102" s="85"/>
      <c r="G102" s="85"/>
      <c r="H102" s="85">
        <v>34.33</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385.13</v>
      </c>
    </row>
    <row r="105" spans="1:10" ht="15.75" x14ac:dyDescent="0.25">
      <c r="A105" s="12" t="s">
        <v>17</v>
      </c>
      <c r="B105" s="13" t="s">
        <v>164</v>
      </c>
      <c r="C105" s="13"/>
      <c r="D105" s="84"/>
      <c r="E105" s="27"/>
      <c r="F105" s="85"/>
      <c r="G105" s="85"/>
      <c r="H105" s="85">
        <v>107.9</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527.36</v>
      </c>
    </row>
    <row r="108" spans="1:10" ht="15.75" x14ac:dyDescent="0.25">
      <c r="A108" s="83">
        <v>6</v>
      </c>
      <c r="B108" s="273" t="s">
        <v>114</v>
      </c>
      <c r="C108" s="273"/>
      <c r="D108" s="273"/>
      <c r="E108" s="273"/>
      <c r="F108" s="273"/>
      <c r="G108" s="273"/>
      <c r="H108" s="273"/>
    </row>
    <row r="109" spans="1:10" ht="15.75" x14ac:dyDescent="0.25">
      <c r="A109" s="86" t="s">
        <v>4</v>
      </c>
      <c r="B109" s="27"/>
      <c r="C109" s="27"/>
      <c r="D109" s="27"/>
      <c r="E109" s="27"/>
      <c r="F109" s="27" t="s">
        <v>115</v>
      </c>
      <c r="G109" s="52">
        <v>0.01</v>
      </c>
      <c r="H109" s="28">
        <f>G109*H124</f>
        <v>25.77341333991</v>
      </c>
    </row>
    <row r="110" spans="1:10" ht="15.75" x14ac:dyDescent="0.25">
      <c r="A110" s="86" t="s">
        <v>7</v>
      </c>
      <c r="B110" s="27"/>
      <c r="C110" s="27"/>
      <c r="D110" s="27"/>
      <c r="E110" s="27"/>
      <c r="F110" s="12" t="s">
        <v>116</v>
      </c>
      <c r="G110" s="52">
        <v>0.01</v>
      </c>
      <c r="H110" s="28">
        <f>SUM(H109+H124)*$G$110</f>
        <v>26.031147473309098</v>
      </c>
    </row>
    <row r="111" spans="1:10" ht="15.75" x14ac:dyDescent="0.25">
      <c r="A111" s="86" t="s">
        <v>9</v>
      </c>
      <c r="B111" s="27"/>
      <c r="C111" s="27"/>
      <c r="D111" s="27"/>
      <c r="E111" s="27"/>
      <c r="F111" s="12" t="s">
        <v>117</v>
      </c>
      <c r="G111" s="87">
        <f>SUM(G112:G116)</f>
        <v>8.6499999999999994E-2</v>
      </c>
      <c r="H111" s="28">
        <f>H113+H114+H116</f>
        <v>248.95579627866988</v>
      </c>
    </row>
    <row r="112" spans="1:10" ht="15.75" x14ac:dyDescent="0.25">
      <c r="A112" s="86" t="s">
        <v>118</v>
      </c>
      <c r="B112" s="27"/>
      <c r="C112" s="27"/>
      <c r="D112" s="27"/>
      <c r="E112" s="27"/>
      <c r="F112" s="88" t="s">
        <v>119</v>
      </c>
      <c r="G112" s="45">
        <v>0</v>
      </c>
      <c r="H112" s="28"/>
      <c r="J112" s="120">
        <f>H109+H110+H124</f>
        <v>2629.1458948042191</v>
      </c>
    </row>
    <row r="113" spans="1:10" ht="15.75" x14ac:dyDescent="0.25">
      <c r="A113" s="86" t="s">
        <v>120</v>
      </c>
      <c r="B113" s="27"/>
      <c r="C113" s="27"/>
      <c r="D113" s="27"/>
      <c r="E113" s="27"/>
      <c r="F113" s="88" t="s">
        <v>121</v>
      </c>
      <c r="G113" s="52">
        <v>6.4999999999999997E-3</v>
      </c>
      <c r="H113" s="28">
        <f>((H109+H110+H124)/0.9135)*G113</f>
        <v>18.707660992038779</v>
      </c>
      <c r="J113" s="158">
        <f>J112/0.9135</f>
        <v>2878.1016910828889</v>
      </c>
    </row>
    <row r="114" spans="1:10" ht="15.75" x14ac:dyDescent="0.25">
      <c r="A114" s="86" t="s">
        <v>122</v>
      </c>
      <c r="B114" s="27"/>
      <c r="C114" s="27"/>
      <c r="D114" s="27"/>
      <c r="E114" s="27"/>
      <c r="F114" s="88" t="s">
        <v>123</v>
      </c>
      <c r="G114" s="52">
        <v>0.03</v>
      </c>
      <c r="H114" s="28">
        <f>((H109+H110+H124)/0.9135)*G114</f>
        <v>86.34305073248666</v>
      </c>
    </row>
    <row r="115" spans="1:10" ht="15.75" x14ac:dyDescent="0.25">
      <c r="A115" s="86" t="s">
        <v>124</v>
      </c>
      <c r="B115" s="27"/>
      <c r="C115" s="27"/>
      <c r="D115" s="27"/>
      <c r="E115" s="27"/>
      <c r="F115" s="88" t="s">
        <v>125</v>
      </c>
      <c r="G115" s="45">
        <v>0</v>
      </c>
      <c r="H115" s="28"/>
    </row>
    <row r="116" spans="1:10" ht="15.75" x14ac:dyDescent="0.25">
      <c r="A116" s="86" t="s">
        <v>126</v>
      </c>
      <c r="B116" s="27"/>
      <c r="C116" s="27"/>
      <c r="D116" s="27"/>
      <c r="E116" s="27"/>
      <c r="F116" s="88" t="s">
        <v>127</v>
      </c>
      <c r="G116" s="45">
        <v>0.05</v>
      </c>
      <c r="H116" s="28">
        <f>((H109+H110+H124)/0.9135)*G116</f>
        <v>143.90508455414445</v>
      </c>
    </row>
    <row r="117" spans="1:10" ht="15.75" x14ac:dyDescent="0.25">
      <c r="A117" s="73"/>
      <c r="B117" s="55" t="s">
        <v>45</v>
      </c>
      <c r="C117" s="55"/>
      <c r="D117" s="41"/>
      <c r="E117" s="41"/>
      <c r="F117" s="74"/>
      <c r="G117" s="57">
        <f>G111+G110+G109</f>
        <v>0.10649999999999998</v>
      </c>
      <c r="H117" s="58">
        <f>SUM(H109:H111)</f>
        <v>300.76035709188898</v>
      </c>
    </row>
    <row r="118" spans="1:10" ht="15.75" x14ac:dyDescent="0.25">
      <c r="A118" s="89"/>
      <c r="B118" s="271" t="s">
        <v>128</v>
      </c>
      <c r="C118" s="271"/>
      <c r="D118" s="271"/>
      <c r="E118" s="271"/>
      <c r="F118" s="271"/>
      <c r="G118" s="271"/>
      <c r="H118" s="271"/>
    </row>
    <row r="119" spans="1:10" ht="15.75" x14ac:dyDescent="0.25">
      <c r="A119" s="90" t="s">
        <v>4</v>
      </c>
      <c r="B119" s="27" t="s">
        <v>30</v>
      </c>
      <c r="C119" s="27"/>
      <c r="D119" s="27"/>
      <c r="E119" s="27"/>
      <c r="F119" s="28"/>
      <c r="G119" s="45">
        <f>SUM(H119/H$126)</f>
        <v>0.39404792523967064</v>
      </c>
      <c r="H119" s="28">
        <f>SUM(H38)</f>
        <v>1134.1099999999999</v>
      </c>
    </row>
    <row r="120" spans="1:10" ht="15.75" x14ac:dyDescent="0.25">
      <c r="A120" s="90" t="s">
        <v>7</v>
      </c>
      <c r="B120" s="27" t="s">
        <v>129</v>
      </c>
      <c r="C120" s="27"/>
      <c r="D120" s="27"/>
      <c r="E120" s="27"/>
      <c r="F120" s="28"/>
      <c r="G120" s="45">
        <f>SUM(H120/H$126)</f>
        <v>0.29111072317558018</v>
      </c>
      <c r="H120" s="28">
        <f>H72</f>
        <v>837.84626466400005</v>
      </c>
    </row>
    <row r="121" spans="1:10" ht="15.75" x14ac:dyDescent="0.25">
      <c r="A121" s="90" t="s">
        <v>9</v>
      </c>
      <c r="B121" s="27" t="s">
        <v>130</v>
      </c>
      <c r="C121" s="27"/>
      <c r="D121" s="27"/>
      <c r="E121" s="27"/>
      <c r="F121" s="28"/>
      <c r="G121" s="45">
        <f>SUM(H121/H$126)</f>
        <v>1.2364436664018876E-2</v>
      </c>
      <c r="H121" s="28">
        <f>H80</f>
        <v>35.586106072</v>
      </c>
    </row>
    <row r="122" spans="1:10" ht="15.75" x14ac:dyDescent="0.25">
      <c r="A122" s="90" t="s">
        <v>17</v>
      </c>
      <c r="B122" s="27" t="s">
        <v>131</v>
      </c>
      <c r="C122" s="27"/>
      <c r="D122" s="27"/>
      <c r="E122" s="27"/>
      <c r="F122" s="28"/>
      <c r="G122" s="45">
        <f>SUM(H122/H$126)</f>
        <v>1.4745470386431096E-2</v>
      </c>
      <c r="H122" s="28">
        <f>H100</f>
        <v>42.438963254999997</v>
      </c>
    </row>
    <row r="123" spans="1:10" ht="15.75" x14ac:dyDescent="0.25">
      <c r="A123" s="90" t="s">
        <v>40</v>
      </c>
      <c r="B123" s="27" t="s">
        <v>110</v>
      </c>
      <c r="C123" s="27"/>
      <c r="D123" s="27"/>
      <c r="E123" s="27"/>
      <c r="F123" s="28"/>
      <c r="G123" s="45">
        <f>H123/H126</f>
        <v>0.18323188566752144</v>
      </c>
      <c r="H123" s="28">
        <f>H107</f>
        <v>527.36</v>
      </c>
    </row>
    <row r="124" spans="1:10" ht="15.75" x14ac:dyDescent="0.25">
      <c r="A124" s="90"/>
      <c r="B124" s="27" t="s">
        <v>132</v>
      </c>
      <c r="C124" s="27"/>
      <c r="D124" s="27"/>
      <c r="E124" s="27"/>
      <c r="F124" s="28"/>
      <c r="G124" s="45">
        <f>SUM(G119:G123)</f>
        <v>0.89550044113322225</v>
      </c>
      <c r="H124" s="28">
        <f>SUM(H119:H123)</f>
        <v>2577.3413339909998</v>
      </c>
    </row>
    <row r="125" spans="1:10" ht="15.75" x14ac:dyDescent="0.25">
      <c r="A125" s="90" t="s">
        <v>40</v>
      </c>
      <c r="B125" s="27" t="s">
        <v>133</v>
      </c>
      <c r="C125" s="27"/>
      <c r="D125" s="27"/>
      <c r="E125" s="27"/>
      <c r="F125" s="28"/>
      <c r="G125" s="45">
        <f>SUM(H125/H$126)</f>
        <v>0.10449955886677777</v>
      </c>
      <c r="H125" s="28">
        <f>H117</f>
        <v>300.76035709188898</v>
      </c>
      <c r="I125" s="115"/>
    </row>
    <row r="126" spans="1:10" ht="15.75" x14ac:dyDescent="0.25">
      <c r="A126" s="55"/>
      <c r="B126" s="55" t="s">
        <v>134</v>
      </c>
      <c r="C126" s="55"/>
      <c r="D126" s="55"/>
      <c r="E126" s="55"/>
      <c r="F126" s="55"/>
      <c r="G126" s="55">
        <f>SUM(G124+G125)</f>
        <v>1</v>
      </c>
      <c r="H126" s="91">
        <f>H125+H124</f>
        <v>2878.1016910828889</v>
      </c>
      <c r="I126" s="115"/>
    </row>
    <row r="127" spans="1:10" ht="15.75" x14ac:dyDescent="0.25">
      <c r="A127" s="92"/>
      <c r="B127" s="271" t="s">
        <v>135</v>
      </c>
      <c r="C127" s="271"/>
      <c r="D127" s="271"/>
      <c r="E127" s="271"/>
      <c r="F127" s="271"/>
      <c r="G127" s="271"/>
      <c r="H127" s="271"/>
    </row>
    <row r="128" spans="1:10"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2878.1016910828889</v>
      </c>
      <c r="E130" s="100">
        <v>3</v>
      </c>
      <c r="F130" s="99">
        <f>D130*E130</f>
        <v>8634.3050732486663</v>
      </c>
      <c r="G130" s="101">
        <v>3</v>
      </c>
      <c r="H130" s="28">
        <f>E130*D130</f>
        <v>8634.3050732486663</v>
      </c>
    </row>
    <row r="131" spans="1:8" ht="15.75" x14ac:dyDescent="0.25">
      <c r="A131" s="27"/>
      <c r="B131" s="102" t="s">
        <v>147</v>
      </c>
      <c r="C131" s="102"/>
      <c r="D131" s="103"/>
      <c r="E131" s="103"/>
      <c r="F131" s="103"/>
      <c r="G131" s="103"/>
      <c r="H131" s="104">
        <f>SUM(H130)</f>
        <v>8634.3050732486663</v>
      </c>
    </row>
    <row r="132" spans="1:8" ht="15.75" x14ac:dyDescent="0.25">
      <c r="A132" s="27"/>
      <c r="B132" s="16"/>
      <c r="C132" s="16"/>
      <c r="D132" s="105"/>
      <c r="E132" s="16"/>
      <c r="F132" s="16"/>
      <c r="G132" s="16"/>
      <c r="H132" s="16"/>
    </row>
    <row r="133" spans="1:8" ht="15.75" x14ac:dyDescent="0.25">
      <c r="A133" s="83"/>
      <c r="B133" s="271" t="s">
        <v>148</v>
      </c>
      <c r="C133" s="271"/>
      <c r="D133" s="271"/>
      <c r="E133" s="271"/>
      <c r="F133" s="271"/>
      <c r="G133" s="271"/>
      <c r="H133" s="271"/>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2878.1016910828889</v>
      </c>
    </row>
    <row r="136" spans="1:8" ht="15.75" x14ac:dyDescent="0.25">
      <c r="A136" s="108" t="s">
        <v>7</v>
      </c>
      <c r="B136" s="109" t="s">
        <v>152</v>
      </c>
      <c r="C136" s="109"/>
      <c r="D136" s="109"/>
      <c r="E136" s="13"/>
      <c r="F136" s="13"/>
      <c r="G136" s="13"/>
      <c r="H136" s="107">
        <f>H131</f>
        <v>8634.3050732486663</v>
      </c>
    </row>
    <row r="137" spans="1:8" ht="15.75" x14ac:dyDescent="0.25">
      <c r="A137" s="108" t="s">
        <v>17</v>
      </c>
      <c r="B137" s="7" t="s">
        <v>153</v>
      </c>
      <c r="C137" s="7"/>
      <c r="D137" s="109"/>
      <c r="E137" s="13"/>
      <c r="F137" s="13"/>
      <c r="G137" s="100">
        <v>12</v>
      </c>
      <c r="H137" s="107">
        <f>SUM(H136*G137)</f>
        <v>103611.660878984</v>
      </c>
    </row>
    <row r="138" spans="1:8" ht="15.75" x14ac:dyDescent="0.25">
      <c r="A138" s="6"/>
      <c r="B138" s="6"/>
      <c r="C138" s="6"/>
      <c r="D138" s="6"/>
      <c r="E138" s="6"/>
      <c r="F138" s="6"/>
      <c r="G138" s="6"/>
      <c r="H138" s="6"/>
    </row>
    <row r="140" spans="1:8" x14ac:dyDescent="0.25">
      <c r="A140" s="150" t="s">
        <v>203</v>
      </c>
      <c r="B140" s="150"/>
    </row>
    <row r="141" spans="1:8" x14ac:dyDescent="0.25">
      <c r="A141" s="150" t="s">
        <v>204</v>
      </c>
      <c r="B141" s="150"/>
    </row>
    <row r="142" spans="1:8" x14ac:dyDescent="0.25">
      <c r="A142" s="150" t="s">
        <v>205</v>
      </c>
      <c r="B142" s="150"/>
    </row>
    <row r="143" spans="1:8" x14ac:dyDescent="0.25">
      <c r="A143" s="150"/>
      <c r="B143" s="150"/>
    </row>
    <row r="144" spans="1:8" x14ac:dyDescent="0.25">
      <c r="A144" s="150" t="s">
        <v>206</v>
      </c>
      <c r="B144" s="150"/>
    </row>
    <row r="146" spans="1:5" x14ac:dyDescent="0.25">
      <c r="A146" t="s">
        <v>207</v>
      </c>
    </row>
    <row r="147" spans="1:5" x14ac:dyDescent="0.25">
      <c r="A147" s="150" t="s">
        <v>208</v>
      </c>
    </row>
    <row r="148" spans="1:5" x14ac:dyDescent="0.25">
      <c r="A148" s="150" t="s">
        <v>209</v>
      </c>
    </row>
    <row r="149" spans="1:5" x14ac:dyDescent="0.25">
      <c r="A149" s="150"/>
    </row>
    <row r="150" spans="1:5" x14ac:dyDescent="0.25">
      <c r="A150" s="150" t="s">
        <v>210</v>
      </c>
    </row>
    <row r="151" spans="1:5" x14ac:dyDescent="0.25">
      <c r="A151" s="150"/>
    </row>
    <row r="152" spans="1:5" x14ac:dyDescent="0.25">
      <c r="A152" s="150" t="s">
        <v>211</v>
      </c>
    </row>
    <row r="153" spans="1:5" x14ac:dyDescent="0.25">
      <c r="A153" s="150" t="s">
        <v>212</v>
      </c>
    </row>
    <row r="154" spans="1:5" x14ac:dyDescent="0.25">
      <c r="A154" s="150"/>
    </row>
    <row r="155" spans="1:5" x14ac:dyDescent="0.25">
      <c r="A155" s="150" t="s">
        <v>206</v>
      </c>
    </row>
    <row r="156" spans="1:5" x14ac:dyDescent="0.25">
      <c r="A156" s="150" t="s">
        <v>222</v>
      </c>
    </row>
    <row r="157" spans="1:5" x14ac:dyDescent="0.25">
      <c r="A157" s="151" t="s">
        <v>213</v>
      </c>
      <c r="B157" s="152"/>
      <c r="C157" s="152"/>
      <c r="D157" s="152"/>
      <c r="E157" s="152"/>
    </row>
    <row r="158" spans="1:5" x14ac:dyDescent="0.25">
      <c r="A158" s="151"/>
      <c r="B158" s="152"/>
      <c r="C158" s="152"/>
      <c r="D158" s="152"/>
      <c r="E158" s="152"/>
    </row>
    <row r="159" spans="1:5" x14ac:dyDescent="0.25">
      <c r="A159" s="151" t="s">
        <v>214</v>
      </c>
      <c r="B159" s="152" t="s">
        <v>215</v>
      </c>
      <c r="C159" s="152" t="s">
        <v>216</v>
      </c>
      <c r="D159" s="152" t="s">
        <v>217</v>
      </c>
      <c r="E159" s="152" t="s">
        <v>218</v>
      </c>
    </row>
    <row r="160" spans="1:5" x14ac:dyDescent="0.25">
      <c r="A160" s="151" t="s">
        <v>219</v>
      </c>
      <c r="B160" s="153">
        <v>1.6500000000000001E-2</v>
      </c>
      <c r="C160" s="153">
        <v>7.5999999999999998E-2</v>
      </c>
      <c r="D160" s="154">
        <v>0.05</v>
      </c>
      <c r="E160" s="152">
        <v>0.85750000000000004</v>
      </c>
    </row>
    <row r="161" spans="1:5" x14ac:dyDescent="0.25">
      <c r="A161" s="151" t="s">
        <v>220</v>
      </c>
      <c r="B161" s="153">
        <v>6.4999999999999997E-3</v>
      </c>
      <c r="C161" s="154">
        <v>0.03</v>
      </c>
      <c r="D161" s="154">
        <v>0.05</v>
      </c>
      <c r="E161" s="152">
        <v>0.91349999999999998</v>
      </c>
    </row>
    <row r="162" spans="1:5" x14ac:dyDescent="0.25">
      <c r="A162" s="151" t="s">
        <v>221</v>
      </c>
      <c r="B162" s="153">
        <v>4.4000000000000003E-3</v>
      </c>
      <c r="C162" s="153">
        <v>2.35E-2</v>
      </c>
      <c r="D162" s="154">
        <v>0.05</v>
      </c>
      <c r="E162" s="152">
        <v>0.92210000000000003</v>
      </c>
    </row>
    <row r="164" spans="1:5" x14ac:dyDescent="0.25">
      <c r="A164" s="156" t="s">
        <v>224</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3"/>
  <sheetViews>
    <sheetView topLeftCell="A116" zoomScale="70" zoomScaleNormal="70" workbookViewId="0">
      <selection activeCell="H84" sqref="H84"/>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2"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273" t="s">
        <v>3</v>
      </c>
      <c r="B3" s="273"/>
      <c r="C3" s="273"/>
      <c r="D3" s="273"/>
      <c r="E3" s="273"/>
      <c r="F3" s="273"/>
      <c r="G3" s="273"/>
      <c r="H3" s="273"/>
    </row>
    <row r="4" spans="1:8" ht="15.75" x14ac:dyDescent="0.25">
      <c r="A4" s="6" t="s">
        <v>4</v>
      </c>
      <c r="B4" s="7" t="s">
        <v>5</v>
      </c>
      <c r="C4" s="7"/>
      <c r="D4" s="8"/>
      <c r="E4" s="291" t="s">
        <v>6</v>
      </c>
      <c r="F4" s="291"/>
      <c r="G4" s="291"/>
      <c r="H4" s="291"/>
    </row>
    <row r="5" spans="1:8" ht="15.75" x14ac:dyDescent="0.25">
      <c r="A5" s="6" t="s">
        <v>7</v>
      </c>
      <c r="B5" s="7" t="s">
        <v>8</v>
      </c>
      <c r="C5" s="7"/>
      <c r="D5" s="9"/>
      <c r="E5" s="291"/>
      <c r="F5" s="291"/>
      <c r="G5" s="291"/>
      <c r="H5" s="291"/>
    </row>
    <row r="6" spans="1:8" ht="15.75" x14ac:dyDescent="0.25">
      <c r="A6" s="6" t="s">
        <v>9</v>
      </c>
      <c r="B6" s="7" t="s">
        <v>10</v>
      </c>
      <c r="C6" s="7"/>
      <c r="D6" s="10" t="s">
        <v>11</v>
      </c>
      <c r="E6" s="291"/>
      <c r="F6" s="291"/>
      <c r="G6" s="291"/>
      <c r="H6" s="291"/>
    </row>
    <row r="7" spans="1:8" ht="15.75" x14ac:dyDescent="0.25">
      <c r="A7" s="292"/>
      <c r="B7" s="292"/>
      <c r="C7" s="292"/>
      <c r="D7" s="292"/>
      <c r="E7" s="11"/>
      <c r="F7" s="11"/>
      <c r="G7" s="11"/>
      <c r="H7" s="11"/>
    </row>
    <row r="8" spans="1:8" ht="15.75" x14ac:dyDescent="0.25">
      <c r="A8" s="273" t="s">
        <v>12</v>
      </c>
      <c r="B8" s="273"/>
      <c r="C8" s="273"/>
      <c r="D8" s="273"/>
      <c r="E8" s="273"/>
      <c r="F8" s="273"/>
      <c r="G8" s="273"/>
      <c r="H8" s="273"/>
    </row>
    <row r="9" spans="1:8" x14ac:dyDescent="0.25">
      <c r="A9" s="12" t="s">
        <v>4</v>
      </c>
      <c r="B9" s="13" t="s">
        <v>13</v>
      </c>
      <c r="C9" s="13"/>
      <c r="D9" s="285" t="s">
        <v>14</v>
      </c>
      <c r="E9" s="285"/>
      <c r="F9" s="285"/>
      <c r="G9" s="285"/>
      <c r="H9" s="285"/>
    </row>
    <row r="10" spans="1:8" x14ac:dyDescent="0.25">
      <c r="A10" s="12" t="s">
        <v>7</v>
      </c>
      <c r="B10" s="13" t="s">
        <v>15</v>
      </c>
      <c r="C10" s="13"/>
      <c r="D10" s="293" t="s">
        <v>185</v>
      </c>
      <c r="E10" s="293"/>
      <c r="F10" s="293"/>
      <c r="G10" s="293"/>
      <c r="H10" s="293"/>
    </row>
    <row r="11" spans="1:8" x14ac:dyDescent="0.25">
      <c r="A11" s="12" t="s">
        <v>9</v>
      </c>
      <c r="B11" s="13" t="s">
        <v>16</v>
      </c>
      <c r="C11" s="13"/>
      <c r="D11" s="293" t="s">
        <v>174</v>
      </c>
      <c r="E11" s="293"/>
      <c r="F11" s="293"/>
      <c r="G11" s="293"/>
      <c r="H11" s="293"/>
    </row>
    <row r="12" spans="1:8" x14ac:dyDescent="0.25">
      <c r="A12" s="12" t="s">
        <v>17</v>
      </c>
      <c r="B12" s="13" t="s">
        <v>18</v>
      </c>
      <c r="C12" s="13"/>
      <c r="D12" s="293">
        <v>12</v>
      </c>
      <c r="E12" s="293"/>
      <c r="F12" s="293"/>
      <c r="G12" s="293"/>
      <c r="H12" s="293"/>
    </row>
    <row r="13" spans="1:8" x14ac:dyDescent="0.25">
      <c r="A13" s="12"/>
      <c r="B13" s="13"/>
      <c r="C13" s="13"/>
      <c r="D13" s="14"/>
      <c r="E13" s="14"/>
      <c r="F13" s="14"/>
      <c r="G13" s="14"/>
      <c r="H13" s="15"/>
    </row>
    <row r="14" spans="1:8" ht="15.75" x14ac:dyDescent="0.25">
      <c r="A14" s="273" t="s">
        <v>19</v>
      </c>
      <c r="B14" s="273"/>
      <c r="C14" s="273"/>
      <c r="D14" s="273"/>
      <c r="E14" s="273"/>
      <c r="F14" s="273"/>
      <c r="G14" s="273"/>
      <c r="H14" s="273"/>
    </row>
    <row r="15" spans="1:8" ht="15.75" x14ac:dyDescent="0.25">
      <c r="A15" s="12"/>
      <c r="B15" s="16" t="s">
        <v>20</v>
      </c>
      <c r="C15" s="16"/>
      <c r="D15" s="17" t="s">
        <v>21</v>
      </c>
      <c r="E15" s="294" t="s">
        <v>22</v>
      </c>
      <c r="F15" s="294"/>
      <c r="G15" s="294"/>
      <c r="H15" s="294"/>
    </row>
    <row r="16" spans="1:8" x14ac:dyDescent="0.25">
      <c r="A16" s="12" t="s">
        <v>4</v>
      </c>
      <c r="B16" s="18" t="s">
        <v>180</v>
      </c>
      <c r="C16" s="19"/>
      <c r="D16" s="20" t="s">
        <v>23</v>
      </c>
      <c r="E16" s="295">
        <v>1</v>
      </c>
      <c r="F16" s="295"/>
      <c r="G16" s="295"/>
      <c r="H16" s="295"/>
    </row>
    <row r="17" spans="1:9" x14ac:dyDescent="0.25">
      <c r="A17" s="12" t="s">
        <v>7</v>
      </c>
      <c r="B17" s="13"/>
      <c r="C17" s="13"/>
      <c r="D17" s="21"/>
      <c r="E17" s="283"/>
      <c r="F17" s="283"/>
      <c r="G17" s="283"/>
      <c r="H17" s="283"/>
    </row>
    <row r="18" spans="1:9" x14ac:dyDescent="0.25">
      <c r="A18" s="12" t="s">
        <v>9</v>
      </c>
      <c r="B18" s="13"/>
      <c r="C18" s="13"/>
      <c r="D18" s="21"/>
      <c r="E18" s="283"/>
      <c r="F18" s="283"/>
      <c r="G18" s="283"/>
      <c r="H18" s="283"/>
    </row>
    <row r="19" spans="1:9" ht="15.75" x14ac:dyDescent="0.25">
      <c r="A19" s="110"/>
      <c r="B19" s="273" t="s">
        <v>24</v>
      </c>
      <c r="C19" s="273"/>
      <c r="D19" s="273"/>
      <c r="E19" s="273"/>
      <c r="F19" s="273"/>
      <c r="G19" s="273"/>
      <c r="H19" s="273"/>
    </row>
    <row r="20" spans="1:9" ht="15.75" x14ac:dyDescent="0.25">
      <c r="A20" s="284" t="s">
        <v>25</v>
      </c>
      <c r="B20" s="284"/>
      <c r="C20" s="284"/>
      <c r="D20" s="284"/>
      <c r="E20" s="284"/>
      <c r="F20" s="284"/>
      <c r="G20" s="284"/>
      <c r="H20" s="284"/>
    </row>
    <row r="21" spans="1:9" x14ac:dyDescent="0.25">
      <c r="A21" s="12">
        <v>1</v>
      </c>
      <c r="B21" s="13" t="s">
        <v>20</v>
      </c>
      <c r="C21" s="13"/>
      <c r="D21" s="285" t="s">
        <v>182</v>
      </c>
      <c r="E21" s="285"/>
      <c r="F21" s="285"/>
      <c r="G21" s="285"/>
      <c r="H21" s="285"/>
    </row>
    <row r="22" spans="1:9" x14ac:dyDescent="0.25">
      <c r="A22" s="12">
        <v>2</v>
      </c>
      <c r="B22" s="13" t="s">
        <v>26</v>
      </c>
      <c r="C22" s="13"/>
      <c r="D22" s="286" t="s">
        <v>176</v>
      </c>
      <c r="E22" s="286"/>
      <c r="F22" s="286"/>
      <c r="G22" s="286"/>
      <c r="H22" s="286"/>
    </row>
    <row r="23" spans="1:9" x14ac:dyDescent="0.25">
      <c r="A23" s="12">
        <v>3</v>
      </c>
      <c r="B23" s="13" t="s">
        <v>27</v>
      </c>
      <c r="C23" s="13"/>
      <c r="D23" s="22">
        <v>1134.1099999999999</v>
      </c>
      <c r="E23" s="23"/>
      <c r="F23" s="23"/>
      <c r="G23" s="23"/>
      <c r="H23" s="23"/>
    </row>
    <row r="24" spans="1:9" ht="30" x14ac:dyDescent="0.25">
      <c r="A24" s="1">
        <v>4</v>
      </c>
      <c r="B24" s="24" t="s">
        <v>28</v>
      </c>
      <c r="C24" s="24"/>
      <c r="D24" s="287" t="s">
        <v>170</v>
      </c>
      <c r="E24" s="287"/>
      <c r="F24" s="287"/>
      <c r="G24" s="287"/>
      <c r="H24" s="287"/>
    </row>
    <row r="25" spans="1:9" x14ac:dyDescent="0.25">
      <c r="A25" s="1">
        <v>5</v>
      </c>
      <c r="B25" s="25" t="s">
        <v>29</v>
      </c>
      <c r="C25" s="25"/>
      <c r="D25" s="288" t="s">
        <v>171</v>
      </c>
      <c r="E25" s="288"/>
      <c r="F25" s="288"/>
      <c r="G25" s="288"/>
      <c r="H25" s="288"/>
    </row>
    <row r="26" spans="1:9" ht="15.75" x14ac:dyDescent="0.25">
      <c r="A26" s="26">
        <v>1</v>
      </c>
      <c r="B26" s="271" t="s">
        <v>30</v>
      </c>
      <c r="C26" s="271"/>
      <c r="D26" s="271"/>
      <c r="E26" s="271"/>
      <c r="F26" s="271"/>
      <c r="G26" s="271"/>
      <c r="H26" s="271"/>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289" t="s">
        <v>46</v>
      </c>
      <c r="C39" s="289"/>
      <c r="D39" s="289"/>
      <c r="E39" s="289"/>
      <c r="F39" s="289"/>
      <c r="G39" s="289"/>
      <c r="H39" s="289"/>
    </row>
    <row r="40" spans="1:9" ht="15.75" x14ac:dyDescent="0.25">
      <c r="A40" s="124" t="s">
        <v>47</v>
      </c>
      <c r="B40" s="290" t="s">
        <v>48</v>
      </c>
      <c r="C40" s="290"/>
      <c r="D40" s="290"/>
      <c r="E40" s="290"/>
      <c r="F40" s="290"/>
      <c r="G40" s="290"/>
      <c r="H40" s="290"/>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273" t="s">
        <v>53</v>
      </c>
      <c r="C45" s="273"/>
      <c r="D45" s="273"/>
      <c r="E45" s="273"/>
      <c r="F45" s="273"/>
      <c r="G45" s="273"/>
      <c r="H45" s="273"/>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282" t="s">
        <v>56</v>
      </c>
      <c r="E47" s="282"/>
      <c r="F47" s="28"/>
      <c r="G47" s="52">
        <v>1.4999999999999999E-2</v>
      </c>
      <c r="H47" s="28">
        <f t="shared" ref="H47:H53" si="0">SUM($H$38*G47)</f>
        <v>17.011649999999999</v>
      </c>
      <c r="I47" s="115"/>
    </row>
    <row r="48" spans="1:9" ht="15.75" x14ac:dyDescent="0.25">
      <c r="A48" s="1" t="s">
        <v>9</v>
      </c>
      <c r="B48" s="51" t="s">
        <v>57</v>
      </c>
      <c r="C48" s="51"/>
      <c r="D48" s="282"/>
      <c r="E48" s="282"/>
      <c r="F48" s="28"/>
      <c r="G48" s="52">
        <v>0.01</v>
      </c>
      <c r="H48" s="28">
        <f t="shared" si="0"/>
        <v>11.341099999999999</v>
      </c>
    </row>
    <row r="49" spans="1:13" ht="15.75" x14ac:dyDescent="0.25">
      <c r="A49" s="1" t="s">
        <v>17</v>
      </c>
      <c r="B49" s="51" t="s">
        <v>58</v>
      </c>
      <c r="C49" s="51"/>
      <c r="D49" s="27"/>
      <c r="E49" s="27"/>
      <c r="F49" s="28"/>
      <c r="G49" s="52">
        <v>2E-3</v>
      </c>
      <c r="H49" s="28">
        <f t="shared" si="0"/>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 t="shared" si="0"/>
        <v>90.728799999999993</v>
      </c>
    </row>
    <row r="52" spans="1:13" ht="15.75" x14ac:dyDescent="0.25">
      <c r="A52" s="127" t="s">
        <v>61</v>
      </c>
      <c r="B52" s="128" t="s">
        <v>62</v>
      </c>
      <c r="C52" s="128"/>
      <c r="D52" s="129"/>
      <c r="E52" s="129"/>
      <c r="F52" s="129"/>
      <c r="G52" s="130">
        <v>0.03</v>
      </c>
      <c r="H52" s="131">
        <f t="shared" si="0"/>
        <v>34.023299999999999</v>
      </c>
    </row>
    <row r="53" spans="1:13" ht="15.75" x14ac:dyDescent="0.25">
      <c r="A53" s="1" t="s">
        <v>43</v>
      </c>
      <c r="B53" s="51" t="s">
        <v>63</v>
      </c>
      <c r="C53" s="51"/>
      <c r="D53" s="27"/>
      <c r="E53" s="27"/>
      <c r="F53" s="28"/>
      <c r="G53" s="52">
        <v>6.0000000000000001E-3</v>
      </c>
      <c r="H53" s="28">
        <f t="shared" si="0"/>
        <v>6.8046599999999993</v>
      </c>
      <c r="I53" s="121">
        <f>H54+H43</f>
        <v>502.61759166400003</v>
      </c>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273" t="s">
        <v>65</v>
      </c>
      <c r="C55" s="273"/>
      <c r="D55" s="273"/>
      <c r="E55" s="273"/>
      <c r="F55" s="273"/>
      <c r="G55" s="273"/>
      <c r="H55" s="273"/>
    </row>
    <row r="56" spans="1:13" ht="15.75" x14ac:dyDescent="0.25">
      <c r="A56" s="6" t="s">
        <v>66</v>
      </c>
      <c r="B56" s="59"/>
      <c r="C56" s="59"/>
      <c r="D56" s="60" t="s">
        <v>67</v>
      </c>
      <c r="E56" s="60" t="s">
        <v>68</v>
      </c>
      <c r="F56" s="60" t="s">
        <v>69</v>
      </c>
      <c r="G56" s="60" t="s">
        <v>70</v>
      </c>
      <c r="H56" s="6"/>
    </row>
    <row r="57" spans="1:13" ht="15.75" x14ac:dyDescent="0.25">
      <c r="A57" s="274" t="s">
        <v>4</v>
      </c>
      <c r="B57" s="6" t="s">
        <v>71</v>
      </c>
      <c r="C57" s="6"/>
      <c r="D57" s="275"/>
      <c r="E57" s="276"/>
      <c r="F57" s="277"/>
      <c r="G57" s="278"/>
      <c r="H57" s="35">
        <f>F57*E57*D57</f>
        <v>0</v>
      </c>
    </row>
    <row r="58" spans="1:13" ht="15.75" x14ac:dyDescent="0.25">
      <c r="A58" s="274"/>
      <c r="B58" s="6" t="s">
        <v>72</v>
      </c>
      <c r="C58" s="6"/>
      <c r="D58" s="275"/>
      <c r="E58" s="275"/>
      <c r="F58" s="275"/>
      <c r="G58" s="275"/>
      <c r="H58" s="35">
        <f>H27*G57</f>
        <v>0</v>
      </c>
    </row>
    <row r="59" spans="1:13" ht="15.75" x14ac:dyDescent="0.25">
      <c r="A59" s="274"/>
      <c r="B59" s="8" t="s">
        <v>73</v>
      </c>
      <c r="C59" s="8"/>
      <c r="D59" s="8"/>
      <c r="E59" s="27"/>
      <c r="F59" s="27"/>
      <c r="G59" s="61"/>
      <c r="H59" s="35">
        <f>H57-H58</f>
        <v>0</v>
      </c>
    </row>
    <row r="60" spans="1:13" ht="15.75" x14ac:dyDescent="0.25">
      <c r="A60" s="274" t="s">
        <v>7</v>
      </c>
      <c r="B60" s="6" t="s">
        <v>74</v>
      </c>
      <c r="C60" s="6"/>
      <c r="D60" s="275">
        <v>1</v>
      </c>
      <c r="E60" s="276">
        <v>1</v>
      </c>
      <c r="F60" s="277">
        <v>145.22999999999999</v>
      </c>
      <c r="G60" s="278">
        <v>0.2</v>
      </c>
      <c r="H60" s="35">
        <f>F60*E60*D60</f>
        <v>145.22999999999999</v>
      </c>
    </row>
    <row r="61" spans="1:13" ht="15.75" x14ac:dyDescent="0.25">
      <c r="A61" s="274"/>
      <c r="B61" s="6" t="s">
        <v>72</v>
      </c>
      <c r="C61" s="6"/>
      <c r="D61" s="275"/>
      <c r="E61" s="275"/>
      <c r="F61" s="275"/>
      <c r="G61" s="275"/>
      <c r="H61" s="35">
        <f>H60*G60</f>
        <v>29.045999999999999</v>
      </c>
    </row>
    <row r="62" spans="1:13" ht="15.75" x14ac:dyDescent="0.25">
      <c r="A62" s="274"/>
      <c r="B62" s="279" t="s">
        <v>75</v>
      </c>
      <c r="C62" s="279"/>
      <c r="D62" s="279"/>
      <c r="E62" s="279"/>
      <c r="F62" s="13"/>
      <c r="G62" s="13"/>
      <c r="H62" s="35">
        <f>H60-H61</f>
        <v>116.184</v>
      </c>
    </row>
    <row r="63" spans="1:13" ht="15.75" x14ac:dyDescent="0.25">
      <c r="A63" s="62" t="s">
        <v>9</v>
      </c>
      <c r="B63" s="279" t="s">
        <v>76</v>
      </c>
      <c r="C63" s="279"/>
      <c r="D63" s="279"/>
      <c r="E63" s="279"/>
      <c r="F63" s="13"/>
      <c r="G63" s="13"/>
      <c r="H63" s="35">
        <v>0</v>
      </c>
    </row>
    <row r="64" spans="1:13" ht="15.75" x14ac:dyDescent="0.25">
      <c r="A64" s="62" t="s">
        <v>17</v>
      </c>
      <c r="B64" s="117" t="s">
        <v>177</v>
      </c>
      <c r="C64" s="117"/>
      <c r="D64" s="117"/>
      <c r="E64" s="117" t="s">
        <v>163</v>
      </c>
      <c r="F64" s="13"/>
      <c r="G64" s="13"/>
      <c r="H64" s="35">
        <v>100</v>
      </c>
      <c r="J64" s="125"/>
      <c r="K64" s="13"/>
      <c r="L64" s="13"/>
      <c r="M64" s="35">
        <v>0</v>
      </c>
    </row>
    <row r="65" spans="1:13" ht="15.75" x14ac:dyDescent="0.25">
      <c r="A65" s="62" t="s">
        <v>40</v>
      </c>
      <c r="B65" s="116" t="s">
        <v>223</v>
      </c>
      <c r="C65" s="117"/>
      <c r="D65" s="117"/>
      <c r="E65" s="117"/>
      <c r="F65" s="13"/>
      <c r="G65" s="13"/>
      <c r="H65" s="35">
        <v>3.53</v>
      </c>
      <c r="J65" s="149"/>
      <c r="K65" s="13"/>
      <c r="L65" s="13"/>
      <c r="M65" s="35"/>
    </row>
    <row r="66" spans="1:13" ht="15.75" x14ac:dyDescent="0.25">
      <c r="A66" s="62" t="s">
        <v>42</v>
      </c>
      <c r="B66" s="116" t="s">
        <v>78</v>
      </c>
      <c r="C66" s="116"/>
      <c r="D66" s="116"/>
      <c r="E66" s="118">
        <v>0</v>
      </c>
      <c r="H66" s="35">
        <f>(1/12*(H27+H28+H30))*E66</f>
        <v>0</v>
      </c>
    </row>
    <row r="67" spans="1:13" ht="15.75" x14ac:dyDescent="0.25">
      <c r="A67" s="63"/>
      <c r="B67" s="280" t="s">
        <v>45</v>
      </c>
      <c r="C67" s="280"/>
      <c r="D67" s="280"/>
      <c r="E67" s="280"/>
      <c r="F67" s="64"/>
      <c r="G67" s="64"/>
      <c r="H67" s="65">
        <f>H59+H62+H63+H64+H65+H66</f>
        <v>219.714</v>
      </c>
    </row>
    <row r="68" spans="1:13" ht="15.75" x14ac:dyDescent="0.25">
      <c r="A68" s="273" t="s">
        <v>79</v>
      </c>
      <c r="B68" s="273"/>
      <c r="C68" s="273"/>
      <c r="D68" s="273"/>
      <c r="E68" s="273"/>
      <c r="F68" s="273"/>
      <c r="G68" s="273"/>
      <c r="H68" s="273"/>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219.714</v>
      </c>
    </row>
    <row r="72" spans="1:13" ht="15.75" x14ac:dyDescent="0.25">
      <c r="A72" s="63"/>
      <c r="B72" s="126" t="s">
        <v>45</v>
      </c>
      <c r="C72" s="126"/>
      <c r="D72" s="126"/>
      <c r="E72" s="126"/>
      <c r="F72" s="64"/>
      <c r="G72" s="64"/>
      <c r="H72" s="65">
        <f>SUM(H69:H71)</f>
        <v>954.03026466400001</v>
      </c>
    </row>
    <row r="73" spans="1:13" ht="15.75" x14ac:dyDescent="0.25">
      <c r="A73" s="68">
        <v>3</v>
      </c>
      <c r="B73" s="271" t="s">
        <v>83</v>
      </c>
      <c r="C73" s="271"/>
      <c r="D73" s="271"/>
      <c r="E73" s="271"/>
      <c r="F73" s="271"/>
      <c r="G73" s="271"/>
      <c r="H73" s="271"/>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2.0000000000000001E-4</v>
      </c>
      <c r="H76" s="72">
        <f>(ROUND(SUM($H$38*G76),2))</f>
        <v>0.23</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225</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1E-4</v>
      </c>
      <c r="H79" s="28">
        <f>SUM($H$38*G79)</f>
        <v>0.113411</v>
      </c>
    </row>
    <row r="80" spans="1:13" ht="15.75" x14ac:dyDescent="0.25">
      <c r="A80" s="73"/>
      <c r="B80" s="55" t="s">
        <v>45</v>
      </c>
      <c r="C80" s="55"/>
      <c r="D80" s="41"/>
      <c r="E80" s="41"/>
      <c r="F80" s="74"/>
      <c r="G80" s="57">
        <f>SUM(G74:G79)</f>
        <v>3.1375200000000006E-2</v>
      </c>
      <c r="H80" s="58">
        <f>SUM(H74:H79)</f>
        <v>35.586106072</v>
      </c>
    </row>
    <row r="81" spans="1:9" ht="15.75" x14ac:dyDescent="0.25">
      <c r="A81" s="44">
        <v>4</v>
      </c>
      <c r="B81" s="281" t="s">
        <v>90</v>
      </c>
      <c r="C81" s="281"/>
      <c r="D81" s="281"/>
      <c r="E81" s="281"/>
      <c r="F81" s="281"/>
      <c r="G81" s="281"/>
      <c r="H81" s="281"/>
    </row>
    <row r="82" spans="1:9" ht="15.75" x14ac:dyDescent="0.25">
      <c r="A82" s="75" t="s">
        <v>91</v>
      </c>
      <c r="B82" s="273" t="s">
        <v>236</v>
      </c>
      <c r="C82" s="273"/>
      <c r="D82" s="273"/>
      <c r="E82" s="273"/>
      <c r="F82" s="273"/>
      <c r="G82" s="273"/>
      <c r="H82" s="273"/>
    </row>
    <row r="83" spans="1:9" ht="15.75" x14ac:dyDescent="0.25">
      <c r="A83" s="12" t="s">
        <v>4</v>
      </c>
      <c r="B83" s="51" t="s">
        <v>226</v>
      </c>
      <c r="C83" s="51"/>
      <c r="D83" s="53"/>
      <c r="E83" s="53"/>
      <c r="F83" s="53"/>
      <c r="G83" s="45">
        <f>(G41+G42)/12</f>
        <v>1.7024999999999998E-2</v>
      </c>
      <c r="H83" s="28"/>
    </row>
    <row r="84" spans="1:9" ht="15.75" x14ac:dyDescent="0.25">
      <c r="A84" s="123" t="s">
        <v>7</v>
      </c>
      <c r="B84" s="51" t="s">
        <v>227</v>
      </c>
      <c r="C84" s="272" t="s">
        <v>95</v>
      </c>
      <c r="D84" s="76">
        <v>1</v>
      </c>
      <c r="E84" s="272" t="s">
        <v>96</v>
      </c>
      <c r="F84" s="77">
        <v>1</v>
      </c>
      <c r="G84" s="45">
        <f t="shared" ref="G84:G89" si="1">D84/360*F84</f>
        <v>2.7777777777777779E-3</v>
      </c>
      <c r="H84" s="28">
        <f t="shared" ref="H84:H88" si="2">SUM(H$38*G84)</f>
        <v>3.1503055555555552</v>
      </c>
    </row>
    <row r="85" spans="1:9" ht="15.75" x14ac:dyDescent="0.25">
      <c r="A85" s="12" t="s">
        <v>9</v>
      </c>
      <c r="B85" s="51" t="s">
        <v>228</v>
      </c>
      <c r="C85" s="272"/>
      <c r="D85" s="76">
        <v>20</v>
      </c>
      <c r="E85" s="272"/>
      <c r="F85" s="77">
        <v>1.4999999999999999E-2</v>
      </c>
      <c r="G85" s="45">
        <f t="shared" si="1"/>
        <v>8.3333333333333328E-4</v>
      </c>
      <c r="H85" s="28">
        <f t="shared" si="2"/>
        <v>0.94509166666666655</v>
      </c>
    </row>
    <row r="86" spans="1:9" ht="15.75" x14ac:dyDescent="0.25">
      <c r="A86" s="12" t="s">
        <v>17</v>
      </c>
      <c r="B86" s="51" t="s">
        <v>229</v>
      </c>
      <c r="C86" s="272"/>
      <c r="D86" s="76">
        <v>15</v>
      </c>
      <c r="E86" s="272"/>
      <c r="F86" s="78">
        <v>1.3299999999999999E-2</v>
      </c>
      <c r="G86" s="45">
        <f t="shared" si="1"/>
        <v>5.5416666666666657E-4</v>
      </c>
      <c r="H86" s="28">
        <f t="shared" si="2"/>
        <v>0.62848595833333321</v>
      </c>
    </row>
    <row r="87" spans="1:9" ht="15.75" x14ac:dyDescent="0.25">
      <c r="A87" s="12" t="s">
        <v>40</v>
      </c>
      <c r="B87" s="51" t="s">
        <v>230</v>
      </c>
      <c r="C87" s="272"/>
      <c r="D87" s="76">
        <v>180</v>
      </c>
      <c r="E87" s="272"/>
      <c r="F87" s="77">
        <v>1.8599999999999998E-2</v>
      </c>
      <c r="G87" s="45">
        <f t="shared" si="1"/>
        <v>9.2999999999999992E-3</v>
      </c>
      <c r="H87" s="28">
        <f t="shared" si="2"/>
        <v>10.547222999999999</v>
      </c>
    </row>
    <row r="88" spans="1:9" ht="15.75" x14ac:dyDescent="0.25">
      <c r="A88" s="12" t="s">
        <v>42</v>
      </c>
      <c r="B88" s="51" t="s">
        <v>231</v>
      </c>
      <c r="C88" s="272"/>
      <c r="D88" s="79">
        <v>5</v>
      </c>
      <c r="E88" s="272"/>
      <c r="F88" s="80">
        <v>1</v>
      </c>
      <c r="G88" s="45">
        <f t="shared" si="1"/>
        <v>1.3888888888888888E-2</v>
      </c>
      <c r="H88" s="81">
        <f t="shared" si="2"/>
        <v>15.751527777777776</v>
      </c>
    </row>
    <row r="89" spans="1:9" ht="15.75" x14ac:dyDescent="0.25">
      <c r="A89" s="12" t="s">
        <v>61</v>
      </c>
      <c r="B89" s="51" t="s">
        <v>101</v>
      </c>
      <c r="C89" s="272"/>
      <c r="D89" s="79"/>
      <c r="E89" s="272"/>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273" t="s">
        <v>232</v>
      </c>
      <c r="C93" s="273"/>
      <c r="D93" s="273"/>
      <c r="E93" s="273"/>
      <c r="F93" s="273"/>
      <c r="G93" s="273"/>
      <c r="H93" s="273"/>
    </row>
    <row r="94" spans="1:9" ht="15.75" x14ac:dyDescent="0.25">
      <c r="A94" s="12" t="s">
        <v>4</v>
      </c>
      <c r="B94" s="51" t="s">
        <v>234</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273" t="s">
        <v>108</v>
      </c>
      <c r="B97" s="273"/>
      <c r="C97" s="273"/>
      <c r="D97" s="273"/>
      <c r="E97" s="273"/>
      <c r="F97" s="273"/>
      <c r="G97" s="273"/>
      <c r="H97" s="273"/>
    </row>
    <row r="98" spans="1:10" ht="15.75" x14ac:dyDescent="0.25">
      <c r="A98" s="12" t="s">
        <v>91</v>
      </c>
      <c r="B98" s="51" t="s">
        <v>235</v>
      </c>
      <c r="C98" s="51"/>
      <c r="D98" s="53"/>
      <c r="E98" s="53"/>
      <c r="F98" s="53"/>
      <c r="G98" s="45">
        <f>G92</f>
        <v>6.0710699999999999E-2</v>
      </c>
      <c r="H98" s="28">
        <f>H92</f>
        <v>42.438963254999997</v>
      </c>
    </row>
    <row r="99" spans="1:10" ht="15.75" x14ac:dyDescent="0.25">
      <c r="A99" s="12" t="s">
        <v>104</v>
      </c>
      <c r="B99" s="51" t="s">
        <v>233</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273" t="s">
        <v>110</v>
      </c>
      <c r="C101" s="273"/>
      <c r="D101" s="273"/>
      <c r="E101" s="273"/>
      <c r="F101" s="273"/>
      <c r="G101" s="273"/>
      <c r="H101" s="273"/>
    </row>
    <row r="102" spans="1:10" ht="15.75" x14ac:dyDescent="0.25">
      <c r="A102" s="12" t="s">
        <v>4</v>
      </c>
      <c r="B102" s="13" t="s">
        <v>111</v>
      </c>
      <c r="C102" s="13"/>
      <c r="D102" s="84"/>
      <c r="E102" s="27"/>
      <c r="F102" s="85"/>
      <c r="G102" s="85"/>
      <c r="H102" s="85">
        <v>23.6</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5.47</v>
      </c>
    </row>
    <row r="105" spans="1:10" ht="15.75" x14ac:dyDescent="0.25">
      <c r="A105" s="12" t="s">
        <v>17</v>
      </c>
      <c r="B105" s="13" t="s">
        <v>164</v>
      </c>
      <c r="C105" s="13"/>
      <c r="D105" s="84"/>
      <c r="E105" s="27"/>
      <c r="F105" s="85"/>
      <c r="G105" s="85"/>
      <c r="H105" s="85">
        <v>37.75</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66.819999999999993</v>
      </c>
    </row>
    <row r="108" spans="1:10" ht="15.75" x14ac:dyDescent="0.25">
      <c r="A108" s="83">
        <v>6</v>
      </c>
      <c r="B108" s="273" t="s">
        <v>114</v>
      </c>
      <c r="C108" s="273"/>
      <c r="D108" s="273"/>
      <c r="E108" s="273"/>
      <c r="F108" s="273"/>
      <c r="G108" s="273"/>
      <c r="H108" s="273"/>
    </row>
    <row r="109" spans="1:10" ht="15.75" x14ac:dyDescent="0.25">
      <c r="A109" s="86" t="s">
        <v>4</v>
      </c>
      <c r="B109" s="27"/>
      <c r="C109" s="27"/>
      <c r="D109" s="27"/>
      <c r="E109" s="27"/>
      <c r="F109" s="27" t="s">
        <v>115</v>
      </c>
      <c r="G109" s="52">
        <v>0.01</v>
      </c>
      <c r="H109" s="28">
        <f>G109*H124</f>
        <v>22.329853339910002</v>
      </c>
    </row>
    <row r="110" spans="1:10" ht="15.75" x14ac:dyDescent="0.25">
      <c r="A110" s="86" t="s">
        <v>7</v>
      </c>
      <c r="B110" s="27"/>
      <c r="C110" s="27"/>
      <c r="D110" s="27"/>
      <c r="E110" s="27"/>
      <c r="F110" s="12" t="s">
        <v>116</v>
      </c>
      <c r="G110" s="52">
        <v>0.01</v>
      </c>
      <c r="H110" s="28">
        <f>SUM(H109+H124)*$G$110</f>
        <v>22.553151873309101</v>
      </c>
    </row>
    <row r="111" spans="1:10" ht="15.75" x14ac:dyDescent="0.25">
      <c r="A111" s="86" t="s">
        <v>9</v>
      </c>
      <c r="B111" s="27"/>
      <c r="C111" s="27"/>
      <c r="D111" s="27"/>
      <c r="E111" s="27"/>
      <c r="F111" s="12" t="s">
        <v>117</v>
      </c>
      <c r="G111" s="87">
        <f>SUM(G112:G116)</f>
        <v>8.6499999999999994E-2</v>
      </c>
      <c r="H111" s="28">
        <f>H113+H114+H116</f>
        <v>215.69306112880673</v>
      </c>
      <c r="I111" s="115">
        <f>H111+H110+H109</f>
        <v>260.57606634202585</v>
      </c>
    </row>
    <row r="112" spans="1:10" ht="15.75" x14ac:dyDescent="0.25">
      <c r="A112" s="86" t="s">
        <v>118</v>
      </c>
      <c r="B112" s="27"/>
      <c r="C112" s="27"/>
      <c r="D112" s="27"/>
      <c r="E112" s="27"/>
      <c r="F112" s="88" t="s">
        <v>119</v>
      </c>
      <c r="G112" s="45">
        <v>0</v>
      </c>
      <c r="H112" s="28"/>
      <c r="J112" s="120"/>
    </row>
    <row r="113" spans="1:10" ht="15.75" x14ac:dyDescent="0.25">
      <c r="A113" s="86" t="s">
        <v>120</v>
      </c>
      <c r="B113" s="27"/>
      <c r="C113" s="27"/>
      <c r="D113" s="27"/>
      <c r="E113" s="27"/>
      <c r="F113" s="88" t="s">
        <v>121</v>
      </c>
      <c r="G113" s="52">
        <v>6.4999999999999997E-3</v>
      </c>
      <c r="H113" s="28">
        <f>((H109+H110+H124)/0.9135)*G113</f>
        <v>16.208149102164665</v>
      </c>
    </row>
    <row r="114" spans="1:10" ht="15.75" x14ac:dyDescent="0.25">
      <c r="A114" s="86" t="s">
        <v>122</v>
      </c>
      <c r="B114" s="27"/>
      <c r="C114" s="27"/>
      <c r="D114" s="27"/>
      <c r="E114" s="27"/>
      <c r="F114" s="88" t="s">
        <v>123</v>
      </c>
      <c r="G114" s="52">
        <v>0.03</v>
      </c>
      <c r="H114" s="28">
        <f>((H109+H110+H124)/0.9135)*G114</f>
        <v>74.80684200999076</v>
      </c>
    </row>
    <row r="115" spans="1:10" ht="15.75" x14ac:dyDescent="0.25">
      <c r="A115" s="86" t="s">
        <v>124</v>
      </c>
      <c r="B115" s="27"/>
      <c r="C115" s="27"/>
      <c r="D115" s="27"/>
      <c r="E115" s="27"/>
      <c r="F115" s="88" t="s">
        <v>125</v>
      </c>
      <c r="G115" s="45">
        <v>0</v>
      </c>
      <c r="H115" s="28"/>
    </row>
    <row r="116" spans="1:10" ht="15.75" x14ac:dyDescent="0.25">
      <c r="A116" s="86" t="s">
        <v>126</v>
      </c>
      <c r="B116" s="27"/>
      <c r="C116" s="27"/>
      <c r="D116" s="27"/>
      <c r="E116" s="27"/>
      <c r="F116" s="88" t="s">
        <v>127</v>
      </c>
      <c r="G116" s="45">
        <v>0.05</v>
      </c>
      <c r="H116" s="28">
        <f>((H109+H110+H124)/0.9135)*G116</f>
        <v>124.67807001665129</v>
      </c>
    </row>
    <row r="117" spans="1:10" ht="15.75" x14ac:dyDescent="0.25">
      <c r="A117" s="73"/>
      <c r="B117" s="55" t="s">
        <v>45</v>
      </c>
      <c r="C117" s="55"/>
      <c r="D117" s="41"/>
      <c r="E117" s="41"/>
      <c r="F117" s="74"/>
      <c r="G117" s="57">
        <f>G111+G110+G109</f>
        <v>0.10649999999999998</v>
      </c>
      <c r="H117" s="58">
        <f>H109+H110+H111</f>
        <v>260.57606634202585</v>
      </c>
    </row>
    <row r="118" spans="1:10" ht="15.75" x14ac:dyDescent="0.25">
      <c r="A118" s="89"/>
      <c r="B118" s="271" t="s">
        <v>128</v>
      </c>
      <c r="C118" s="271"/>
      <c r="D118" s="271"/>
      <c r="E118" s="271"/>
      <c r="F118" s="271"/>
      <c r="G118" s="271"/>
      <c r="H118" s="271"/>
    </row>
    <row r="119" spans="1:10" ht="15.75" x14ac:dyDescent="0.25">
      <c r="A119" s="90" t="s">
        <v>4</v>
      </c>
      <c r="B119" s="27" t="s">
        <v>30</v>
      </c>
      <c r="C119" s="27"/>
      <c r="D119" s="27"/>
      <c r="E119" s="27"/>
      <c r="F119" s="28"/>
      <c r="G119" s="45">
        <f>SUM(H119/H$126)</f>
        <v>0.45481534958334474</v>
      </c>
      <c r="H119" s="28">
        <f>H38</f>
        <v>1134.1099999999999</v>
      </c>
    </row>
    <row r="120" spans="1:10" ht="15.75" x14ac:dyDescent="0.25">
      <c r="A120" s="90" t="s">
        <v>7</v>
      </c>
      <c r="B120" s="27" t="s">
        <v>129</v>
      </c>
      <c r="C120" s="27"/>
      <c r="D120" s="27"/>
      <c r="E120" s="27"/>
      <c r="F120" s="28"/>
      <c r="G120" s="45">
        <f>SUM(H120/H$126)</f>
        <v>0.38259746262377381</v>
      </c>
      <c r="H120" s="28">
        <f>H72</f>
        <v>954.03026466400001</v>
      </c>
    </row>
    <row r="121" spans="1:10" ht="15.75" x14ac:dyDescent="0.25">
      <c r="A121" s="90" t="s">
        <v>9</v>
      </c>
      <c r="B121" s="27" t="s">
        <v>130</v>
      </c>
      <c r="C121" s="27"/>
      <c r="D121" s="27"/>
      <c r="E121" s="27"/>
      <c r="F121" s="28"/>
      <c r="G121" s="45">
        <f>SUM(H121/H$126)</f>
        <v>1.427119703860002E-2</v>
      </c>
      <c r="H121" s="28">
        <f>H80</f>
        <v>35.586106072</v>
      </c>
      <c r="J121" s="115">
        <f>H109+H110+H124</f>
        <v>2277.868339204219</v>
      </c>
    </row>
    <row r="122" spans="1:10" ht="15.75" x14ac:dyDescent="0.25">
      <c r="A122" s="90" t="s">
        <v>17</v>
      </c>
      <c r="B122" s="27" t="s">
        <v>131</v>
      </c>
      <c r="C122" s="27"/>
      <c r="D122" s="27"/>
      <c r="E122" s="27"/>
      <c r="F122" s="28"/>
      <c r="G122" s="45">
        <f>SUM(H122/H$126)</f>
        <v>1.7019417789083554E-2</v>
      </c>
      <c r="H122" s="28">
        <f>H100</f>
        <v>42.438963254999997</v>
      </c>
      <c r="J122" s="115">
        <f>J121/0.9135</f>
        <v>2493.5614003330256</v>
      </c>
    </row>
    <row r="123" spans="1:10" ht="15.75" x14ac:dyDescent="0.25">
      <c r="A123" s="90" t="s">
        <v>40</v>
      </c>
      <c r="B123" s="27" t="s">
        <v>110</v>
      </c>
      <c r="C123" s="27"/>
      <c r="D123" s="27"/>
      <c r="E123" s="27"/>
      <c r="F123" s="28"/>
      <c r="G123" s="45">
        <f>H123/H126</f>
        <v>2.6797014098419992E-2</v>
      </c>
      <c r="H123" s="28">
        <f>H107</f>
        <v>66.819999999999993</v>
      </c>
    </row>
    <row r="124" spans="1:10" ht="15.75" x14ac:dyDescent="0.25">
      <c r="A124" s="90"/>
      <c r="B124" s="27" t="s">
        <v>132</v>
      </c>
      <c r="C124" s="27"/>
      <c r="D124" s="27"/>
      <c r="E124" s="27"/>
      <c r="F124" s="28"/>
      <c r="G124" s="45">
        <f>SUM(G119:G123)</f>
        <v>0.89550044113322202</v>
      </c>
      <c r="H124" s="28">
        <f>SUM(H119:H123)</f>
        <v>2232.9853339910001</v>
      </c>
      <c r="I124" s="115"/>
    </row>
    <row r="125" spans="1:10" ht="15.75" x14ac:dyDescent="0.25">
      <c r="A125" s="90" t="s">
        <v>40</v>
      </c>
      <c r="B125" s="27" t="s">
        <v>133</v>
      </c>
      <c r="C125" s="27"/>
      <c r="D125" s="27"/>
      <c r="E125" s="27"/>
      <c r="F125" s="28"/>
      <c r="G125" s="45">
        <f>SUM(H125/H$126)</f>
        <v>0.10449955886677777</v>
      </c>
      <c r="H125" s="28">
        <f>H117</f>
        <v>260.57606634202585</v>
      </c>
      <c r="I125" s="115">
        <f>(H109+H110+H124)/0.9135</f>
        <v>2493.5614003330256</v>
      </c>
    </row>
    <row r="126" spans="1:10" ht="15.75" x14ac:dyDescent="0.25">
      <c r="A126" s="55"/>
      <c r="B126" s="55" t="s">
        <v>134</v>
      </c>
      <c r="C126" s="55"/>
      <c r="D126" s="55"/>
      <c r="E126" s="55"/>
      <c r="F126" s="55"/>
      <c r="G126" s="55">
        <f>SUM(G124+G125)</f>
        <v>0.99999999999999978</v>
      </c>
      <c r="H126" s="91">
        <f>H125+H124</f>
        <v>2493.5614003330261</v>
      </c>
    </row>
    <row r="127" spans="1:10" ht="15.75" x14ac:dyDescent="0.25">
      <c r="A127" s="92"/>
      <c r="B127" s="271" t="s">
        <v>135</v>
      </c>
      <c r="C127" s="271"/>
      <c r="D127" s="271"/>
      <c r="E127" s="271"/>
      <c r="F127" s="271"/>
      <c r="G127" s="271"/>
      <c r="H127" s="271"/>
    </row>
    <row r="128" spans="1:10"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2493.5614003330261</v>
      </c>
      <c r="E130" s="100">
        <v>1</v>
      </c>
      <c r="F130" s="99">
        <f>D130*E130</f>
        <v>2493.5614003330261</v>
      </c>
      <c r="G130" s="101">
        <v>1</v>
      </c>
      <c r="H130" s="28">
        <f>E130*D130</f>
        <v>2493.5614003330261</v>
      </c>
    </row>
    <row r="131" spans="1:8" ht="15.75" x14ac:dyDescent="0.25">
      <c r="A131" s="27"/>
      <c r="B131" s="102" t="s">
        <v>147</v>
      </c>
      <c r="C131" s="102"/>
      <c r="D131" s="103"/>
      <c r="E131" s="103"/>
      <c r="F131" s="103"/>
      <c r="G131" s="103"/>
      <c r="H131" s="104">
        <f>SUM(H130)</f>
        <v>2493.5614003330261</v>
      </c>
    </row>
    <row r="132" spans="1:8" ht="15.75" x14ac:dyDescent="0.25">
      <c r="A132" s="27"/>
      <c r="B132" s="16"/>
      <c r="C132" s="16"/>
      <c r="D132" s="105"/>
      <c r="E132" s="16"/>
      <c r="F132" s="16"/>
      <c r="G132" s="16"/>
      <c r="H132" s="16"/>
    </row>
    <row r="133" spans="1:8" ht="15.75" x14ac:dyDescent="0.25">
      <c r="A133" s="83"/>
      <c r="B133" s="271" t="s">
        <v>148</v>
      </c>
      <c r="C133" s="271"/>
      <c r="D133" s="271"/>
      <c r="E133" s="271"/>
      <c r="F133" s="271"/>
      <c r="G133" s="271"/>
      <c r="H133" s="271"/>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2493.5614003330261</v>
      </c>
    </row>
    <row r="136" spans="1:8" ht="15.75" x14ac:dyDescent="0.25">
      <c r="A136" s="108" t="s">
        <v>7</v>
      </c>
      <c r="B136" s="109" t="s">
        <v>152</v>
      </c>
      <c r="C136" s="109"/>
      <c r="D136" s="109"/>
      <c r="E136" s="13"/>
      <c r="F136" s="13"/>
      <c r="G136" s="13"/>
      <c r="H136" s="107">
        <f>H131</f>
        <v>2493.5614003330261</v>
      </c>
    </row>
    <row r="137" spans="1:8" ht="15.75" x14ac:dyDescent="0.25">
      <c r="A137" s="108" t="s">
        <v>17</v>
      </c>
      <c r="B137" s="7" t="s">
        <v>153</v>
      </c>
      <c r="C137" s="7"/>
      <c r="D137" s="109"/>
      <c r="E137" s="13"/>
      <c r="F137" s="13"/>
      <c r="G137" s="100">
        <v>12</v>
      </c>
      <c r="H137" s="107">
        <f>SUM(H136*G137)</f>
        <v>29922.736803996311</v>
      </c>
    </row>
    <row r="138" spans="1:8" ht="15.75" x14ac:dyDescent="0.25">
      <c r="A138" s="6"/>
      <c r="B138" s="6"/>
      <c r="C138" s="6"/>
      <c r="D138" s="6"/>
      <c r="E138" s="6"/>
      <c r="F138" s="6"/>
      <c r="G138" s="6"/>
      <c r="H138" s="6"/>
    </row>
    <row r="139" spans="1:8" x14ac:dyDescent="0.25">
      <c r="A139" s="150" t="s">
        <v>203</v>
      </c>
      <c r="B139" s="150"/>
    </row>
    <row r="140" spans="1:8" x14ac:dyDescent="0.25">
      <c r="A140" s="150" t="s">
        <v>204</v>
      </c>
      <c r="B140" s="150"/>
    </row>
    <row r="141" spans="1:8" x14ac:dyDescent="0.25">
      <c r="A141" s="150" t="s">
        <v>205</v>
      </c>
      <c r="B141" s="150"/>
    </row>
    <row r="142" spans="1:8" x14ac:dyDescent="0.25">
      <c r="A142" s="150"/>
      <c r="B142" s="150"/>
    </row>
    <row r="143" spans="1:8" x14ac:dyDescent="0.25">
      <c r="A143" s="150" t="s">
        <v>206</v>
      </c>
      <c r="B143" s="150"/>
    </row>
    <row r="145" spans="1:6" x14ac:dyDescent="0.25">
      <c r="A145" t="s">
        <v>207</v>
      </c>
    </row>
    <row r="146" spans="1:6" x14ac:dyDescent="0.25">
      <c r="A146" s="150" t="s">
        <v>208</v>
      </c>
    </row>
    <row r="147" spans="1:6" x14ac:dyDescent="0.25">
      <c r="A147" s="150" t="s">
        <v>209</v>
      </c>
    </row>
    <row r="148" spans="1:6" x14ac:dyDescent="0.25">
      <c r="A148" s="150"/>
    </row>
    <row r="149" spans="1:6" x14ac:dyDescent="0.25">
      <c r="A149" s="150" t="s">
        <v>210</v>
      </c>
    </row>
    <row r="150" spans="1:6" x14ac:dyDescent="0.25">
      <c r="A150" s="150"/>
    </row>
    <row r="151" spans="1:6" x14ac:dyDescent="0.25">
      <c r="A151" s="150" t="s">
        <v>211</v>
      </c>
    </row>
    <row r="152" spans="1:6" x14ac:dyDescent="0.25">
      <c r="A152" s="150" t="s">
        <v>212</v>
      </c>
    </row>
    <row r="153" spans="1:6" x14ac:dyDescent="0.25">
      <c r="A153" s="150"/>
    </row>
    <row r="154" spans="1:6" x14ac:dyDescent="0.25">
      <c r="A154" s="150" t="s">
        <v>206</v>
      </c>
    </row>
    <row r="155" spans="1:6" x14ac:dyDescent="0.25">
      <c r="A155" s="150" t="s">
        <v>222</v>
      </c>
    </row>
    <row r="156" spans="1:6" x14ac:dyDescent="0.25">
      <c r="B156" s="151" t="s">
        <v>213</v>
      </c>
      <c r="C156" s="152"/>
      <c r="D156" s="152"/>
      <c r="E156" s="152"/>
      <c r="F156" s="152"/>
    </row>
    <row r="157" spans="1:6" x14ac:dyDescent="0.25">
      <c r="B157" s="151"/>
      <c r="C157" s="152"/>
      <c r="D157" s="152"/>
      <c r="E157" s="152"/>
      <c r="F157" s="152"/>
    </row>
    <row r="158" spans="1:6" x14ac:dyDescent="0.25">
      <c r="B158" s="151" t="s">
        <v>214</v>
      </c>
      <c r="C158" s="152" t="s">
        <v>215</v>
      </c>
      <c r="D158" s="152" t="s">
        <v>216</v>
      </c>
      <c r="E158" s="152" t="s">
        <v>217</v>
      </c>
      <c r="F158" s="152" t="s">
        <v>218</v>
      </c>
    </row>
    <row r="159" spans="1:6" x14ac:dyDescent="0.25">
      <c r="B159" s="151" t="s">
        <v>219</v>
      </c>
      <c r="C159" s="153">
        <v>1.6500000000000001E-2</v>
      </c>
      <c r="D159" s="153">
        <v>7.5999999999999998E-2</v>
      </c>
      <c r="E159" s="154">
        <v>0.05</v>
      </c>
      <c r="F159" s="152">
        <v>0.85750000000000004</v>
      </c>
    </row>
    <row r="160" spans="1:6" x14ac:dyDescent="0.25">
      <c r="B160" s="151" t="s">
        <v>220</v>
      </c>
      <c r="C160" s="153">
        <v>6.4999999999999997E-3</v>
      </c>
      <c r="D160" s="154">
        <v>0.03</v>
      </c>
      <c r="E160" s="154">
        <v>0.05</v>
      </c>
      <c r="F160" s="152">
        <v>0.91349999999999998</v>
      </c>
    </row>
    <row r="161" spans="1:6" x14ac:dyDescent="0.25">
      <c r="B161" s="151" t="s">
        <v>221</v>
      </c>
      <c r="C161" s="153">
        <v>4.4000000000000003E-3</v>
      </c>
      <c r="D161" s="153">
        <v>2.35E-2</v>
      </c>
      <c r="E161" s="154">
        <v>0.05</v>
      </c>
      <c r="F161" s="152">
        <v>0.92210000000000003</v>
      </c>
    </row>
    <row r="163" spans="1:6" x14ac:dyDescent="0.25">
      <c r="A163" s="156" t="s">
        <v>224</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1">
      <formula1>$J$28:$J$31</formula1>
      <formula2>0</formula2>
    </dataValidation>
    <dataValidation type="list" operator="equal" allowBlank="1" showErrorMessage="1" promptTitle="Percentual" sqref="E31">
      <formula1>$K$28:$K$31</formula1>
      <formula2>0</formula2>
    </dataValidation>
  </dataValidations>
  <pageMargins left="0.7" right="0.7" top="0.75" bottom="0.75" header="0.3" footer="0.3"/>
  <pageSetup scale="45"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4"/>
  <sheetViews>
    <sheetView topLeftCell="A119" zoomScale="70" zoomScaleNormal="70" workbookViewId="0">
      <selection activeCell="B82" sqref="B82:H82"/>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2"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273" t="s">
        <v>3</v>
      </c>
      <c r="B3" s="273"/>
      <c r="C3" s="273"/>
      <c r="D3" s="273"/>
      <c r="E3" s="273"/>
      <c r="F3" s="273"/>
      <c r="G3" s="273"/>
      <c r="H3" s="273"/>
    </row>
    <row r="4" spans="1:8" ht="15.75" x14ac:dyDescent="0.25">
      <c r="A4" s="6" t="s">
        <v>4</v>
      </c>
      <c r="B4" s="7" t="s">
        <v>5</v>
      </c>
      <c r="C4" s="7"/>
      <c r="D4" s="8"/>
      <c r="E4" s="291" t="s">
        <v>6</v>
      </c>
      <c r="F4" s="291"/>
      <c r="G4" s="291"/>
      <c r="H4" s="291"/>
    </row>
    <row r="5" spans="1:8" ht="15.75" x14ac:dyDescent="0.25">
      <c r="A5" s="6" t="s">
        <v>7</v>
      </c>
      <c r="B5" s="7" t="s">
        <v>8</v>
      </c>
      <c r="C5" s="7"/>
      <c r="D5" s="9"/>
      <c r="E5" s="291"/>
      <c r="F5" s="291"/>
      <c r="G5" s="291"/>
      <c r="H5" s="291"/>
    </row>
    <row r="6" spans="1:8" ht="15.75" x14ac:dyDescent="0.25">
      <c r="A6" s="6" t="s">
        <v>9</v>
      </c>
      <c r="B6" s="7" t="s">
        <v>10</v>
      </c>
      <c r="C6" s="7"/>
      <c r="D6" s="10" t="s">
        <v>11</v>
      </c>
      <c r="E6" s="291"/>
      <c r="F6" s="291"/>
      <c r="G6" s="291"/>
      <c r="H6" s="291"/>
    </row>
    <row r="7" spans="1:8" ht="15.75" x14ac:dyDescent="0.25">
      <c r="A7" s="292"/>
      <c r="B7" s="292"/>
      <c r="C7" s="292"/>
      <c r="D7" s="292"/>
      <c r="E7" s="11"/>
      <c r="F7" s="11"/>
      <c r="G7" s="11"/>
      <c r="H7" s="11"/>
    </row>
    <row r="8" spans="1:8" ht="15.75" x14ac:dyDescent="0.25">
      <c r="A8" s="273" t="s">
        <v>12</v>
      </c>
      <c r="B8" s="273"/>
      <c r="C8" s="273"/>
      <c r="D8" s="273"/>
      <c r="E8" s="273"/>
      <c r="F8" s="273"/>
      <c r="G8" s="273"/>
      <c r="H8" s="273"/>
    </row>
    <row r="9" spans="1:8" x14ac:dyDescent="0.25">
      <c r="A9" s="12" t="s">
        <v>4</v>
      </c>
      <c r="B9" s="13" t="s">
        <v>13</v>
      </c>
      <c r="C9" s="13"/>
      <c r="D9" s="285" t="s">
        <v>14</v>
      </c>
      <c r="E9" s="285"/>
      <c r="F9" s="285"/>
      <c r="G9" s="285"/>
      <c r="H9" s="285"/>
    </row>
    <row r="10" spans="1:8" x14ac:dyDescent="0.25">
      <c r="A10" s="12" t="s">
        <v>7</v>
      </c>
      <c r="B10" s="13" t="s">
        <v>15</v>
      </c>
      <c r="C10" s="13"/>
      <c r="D10" s="293" t="s">
        <v>185</v>
      </c>
      <c r="E10" s="293"/>
      <c r="F10" s="293"/>
      <c r="G10" s="293"/>
      <c r="H10" s="293"/>
    </row>
    <row r="11" spans="1:8" x14ac:dyDescent="0.25">
      <c r="A11" s="12" t="s">
        <v>9</v>
      </c>
      <c r="B11" s="13" t="s">
        <v>16</v>
      </c>
      <c r="C11" s="13"/>
      <c r="D11" s="293" t="s">
        <v>174</v>
      </c>
      <c r="E11" s="293"/>
      <c r="F11" s="293"/>
      <c r="G11" s="293"/>
      <c r="H11" s="293"/>
    </row>
    <row r="12" spans="1:8" x14ac:dyDescent="0.25">
      <c r="A12" s="12" t="s">
        <v>17</v>
      </c>
      <c r="B12" s="13" t="s">
        <v>18</v>
      </c>
      <c r="C12" s="13"/>
      <c r="D12" s="293">
        <v>12</v>
      </c>
      <c r="E12" s="293"/>
      <c r="F12" s="293"/>
      <c r="G12" s="293"/>
      <c r="H12" s="293"/>
    </row>
    <row r="13" spans="1:8" x14ac:dyDescent="0.25">
      <c r="A13" s="12"/>
      <c r="B13" s="13"/>
      <c r="C13" s="13"/>
      <c r="D13" s="14"/>
      <c r="E13" s="14"/>
      <c r="F13" s="14"/>
      <c r="G13" s="14"/>
      <c r="H13" s="15"/>
    </row>
    <row r="14" spans="1:8" ht="15.75" x14ac:dyDescent="0.25">
      <c r="A14" s="273" t="s">
        <v>19</v>
      </c>
      <c r="B14" s="273"/>
      <c r="C14" s="273"/>
      <c r="D14" s="273"/>
      <c r="E14" s="273"/>
      <c r="F14" s="273"/>
      <c r="G14" s="273"/>
      <c r="H14" s="273"/>
    </row>
    <row r="15" spans="1:8" ht="15.75" x14ac:dyDescent="0.25">
      <c r="A15" s="12"/>
      <c r="B15" s="16" t="s">
        <v>20</v>
      </c>
      <c r="C15" s="16"/>
      <c r="D15" s="17" t="s">
        <v>21</v>
      </c>
      <c r="E15" s="294" t="s">
        <v>22</v>
      </c>
      <c r="F15" s="294"/>
      <c r="G15" s="294"/>
      <c r="H15" s="294"/>
    </row>
    <row r="16" spans="1:8" x14ac:dyDescent="0.25">
      <c r="A16" s="12" t="s">
        <v>4</v>
      </c>
      <c r="B16" s="18" t="s">
        <v>180</v>
      </c>
      <c r="C16" s="19"/>
      <c r="D16" s="20" t="s">
        <v>23</v>
      </c>
      <c r="E16" s="295">
        <v>1</v>
      </c>
      <c r="F16" s="295"/>
      <c r="G16" s="295"/>
      <c r="H16" s="295"/>
    </row>
    <row r="17" spans="1:9" x14ac:dyDescent="0.25">
      <c r="A17" s="12" t="s">
        <v>7</v>
      </c>
      <c r="B17" s="13"/>
      <c r="C17" s="13"/>
      <c r="D17" s="21"/>
      <c r="E17" s="283"/>
      <c r="F17" s="283"/>
      <c r="G17" s="283"/>
      <c r="H17" s="283"/>
    </row>
    <row r="18" spans="1:9" x14ac:dyDescent="0.25">
      <c r="A18" s="12" t="s">
        <v>9</v>
      </c>
      <c r="B18" s="13"/>
      <c r="C18" s="13"/>
      <c r="D18" s="21"/>
      <c r="E18" s="283"/>
      <c r="F18" s="283"/>
      <c r="G18" s="283"/>
      <c r="H18" s="283"/>
    </row>
    <row r="19" spans="1:9" ht="15.75" x14ac:dyDescent="0.25">
      <c r="A19" s="110"/>
      <c r="B19" s="273" t="s">
        <v>24</v>
      </c>
      <c r="C19" s="273"/>
      <c r="D19" s="273"/>
      <c r="E19" s="273"/>
      <c r="F19" s="273"/>
      <c r="G19" s="273"/>
      <c r="H19" s="273"/>
    </row>
    <row r="20" spans="1:9" ht="15.75" x14ac:dyDescent="0.25">
      <c r="A20" s="284" t="s">
        <v>25</v>
      </c>
      <c r="B20" s="284"/>
      <c r="C20" s="284"/>
      <c r="D20" s="284"/>
      <c r="E20" s="284"/>
      <c r="F20" s="284"/>
      <c r="G20" s="284"/>
      <c r="H20" s="284"/>
    </row>
    <row r="21" spans="1:9" x14ac:dyDescent="0.25">
      <c r="A21" s="12">
        <v>1</v>
      </c>
      <c r="B21" s="13" t="s">
        <v>20</v>
      </c>
      <c r="C21" s="13"/>
      <c r="D21" s="285" t="s">
        <v>183</v>
      </c>
      <c r="E21" s="285"/>
      <c r="F21" s="285"/>
      <c r="G21" s="285"/>
      <c r="H21" s="285"/>
    </row>
    <row r="22" spans="1:9" x14ac:dyDescent="0.25">
      <c r="A22" s="12">
        <v>2</v>
      </c>
      <c r="B22" s="13" t="s">
        <v>26</v>
      </c>
      <c r="C22" s="13"/>
      <c r="D22" s="286" t="s">
        <v>176</v>
      </c>
      <c r="E22" s="286"/>
      <c r="F22" s="286"/>
      <c r="G22" s="286"/>
      <c r="H22" s="286"/>
    </row>
    <row r="23" spans="1:9" x14ac:dyDescent="0.25">
      <c r="A23" s="12">
        <v>3</v>
      </c>
      <c r="B23" s="13" t="s">
        <v>27</v>
      </c>
      <c r="C23" s="13"/>
      <c r="D23" s="22">
        <v>1134.1099999999999</v>
      </c>
      <c r="E23" s="23"/>
      <c r="F23" s="23"/>
      <c r="G23" s="23"/>
      <c r="H23" s="23"/>
    </row>
    <row r="24" spans="1:9" ht="30" x14ac:dyDescent="0.25">
      <c r="A24" s="1">
        <v>4</v>
      </c>
      <c r="B24" s="24" t="s">
        <v>28</v>
      </c>
      <c r="C24" s="24"/>
      <c r="D24" s="287" t="s">
        <v>170</v>
      </c>
      <c r="E24" s="287"/>
      <c r="F24" s="287"/>
      <c r="G24" s="287"/>
      <c r="H24" s="287"/>
    </row>
    <row r="25" spans="1:9" x14ac:dyDescent="0.25">
      <c r="A25" s="1">
        <v>5</v>
      </c>
      <c r="B25" s="25" t="s">
        <v>29</v>
      </c>
      <c r="C25" s="25"/>
      <c r="D25" s="288" t="s">
        <v>171</v>
      </c>
      <c r="E25" s="288"/>
      <c r="F25" s="288"/>
      <c r="G25" s="288"/>
      <c r="H25" s="288"/>
    </row>
    <row r="26" spans="1:9" ht="15.75" x14ac:dyDescent="0.25">
      <c r="A26" s="26">
        <v>1</v>
      </c>
      <c r="B26" s="271" t="s">
        <v>30</v>
      </c>
      <c r="C26" s="271"/>
      <c r="D26" s="271"/>
      <c r="E26" s="271"/>
      <c r="F26" s="271"/>
      <c r="G26" s="271"/>
      <c r="H26" s="271"/>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289" t="s">
        <v>46</v>
      </c>
      <c r="C39" s="289"/>
      <c r="D39" s="289"/>
      <c r="E39" s="289"/>
      <c r="F39" s="289"/>
      <c r="G39" s="289"/>
      <c r="H39" s="289"/>
    </row>
    <row r="40" spans="1:9" ht="15.75" x14ac:dyDescent="0.25">
      <c r="A40" s="124" t="s">
        <v>47</v>
      </c>
      <c r="B40" s="290" t="s">
        <v>48</v>
      </c>
      <c r="C40" s="290"/>
      <c r="D40" s="290"/>
      <c r="E40" s="290"/>
      <c r="F40" s="290"/>
      <c r="G40" s="290"/>
      <c r="H40" s="290"/>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273" t="s">
        <v>53</v>
      </c>
      <c r="C45" s="273"/>
      <c r="D45" s="273"/>
      <c r="E45" s="273"/>
      <c r="F45" s="273"/>
      <c r="G45" s="273"/>
      <c r="H45" s="273"/>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282" t="s">
        <v>56</v>
      </c>
      <c r="E47" s="282"/>
      <c r="F47" s="28"/>
      <c r="G47" s="52">
        <v>1.4999999999999999E-2</v>
      </c>
      <c r="H47" s="28">
        <f t="shared" ref="H47:H53" si="0">SUM($H$38*G47)</f>
        <v>17.011649999999999</v>
      </c>
      <c r="I47" s="115"/>
    </row>
    <row r="48" spans="1:9" ht="15.75" x14ac:dyDescent="0.25">
      <c r="A48" s="1" t="s">
        <v>9</v>
      </c>
      <c r="B48" s="51" t="s">
        <v>57</v>
      </c>
      <c r="C48" s="51"/>
      <c r="D48" s="282"/>
      <c r="E48" s="282"/>
      <c r="F48" s="28"/>
      <c r="G48" s="52">
        <v>0.01</v>
      </c>
      <c r="H48" s="28">
        <f t="shared" si="0"/>
        <v>11.341099999999999</v>
      </c>
    </row>
    <row r="49" spans="1:13" ht="15.75" x14ac:dyDescent="0.25">
      <c r="A49" s="1" t="s">
        <v>17</v>
      </c>
      <c r="B49" s="51" t="s">
        <v>58</v>
      </c>
      <c r="C49" s="51"/>
      <c r="D49" s="27"/>
      <c r="E49" s="27"/>
      <c r="F49" s="28"/>
      <c r="G49" s="52">
        <v>2E-3</v>
      </c>
      <c r="H49" s="28">
        <f t="shared" si="0"/>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 t="shared" si="0"/>
        <v>90.728799999999993</v>
      </c>
    </row>
    <row r="52" spans="1:13" ht="15.75" x14ac:dyDescent="0.25">
      <c r="A52" s="127" t="s">
        <v>61</v>
      </c>
      <c r="B52" s="128" t="s">
        <v>62</v>
      </c>
      <c r="C52" s="128"/>
      <c r="D52" s="129"/>
      <c r="E52" s="129"/>
      <c r="F52" s="129"/>
      <c r="G52" s="130">
        <v>0.03</v>
      </c>
      <c r="H52" s="131">
        <f t="shared" si="0"/>
        <v>34.023299999999999</v>
      </c>
    </row>
    <row r="53" spans="1:13" ht="15.75" x14ac:dyDescent="0.25">
      <c r="A53" s="1" t="s">
        <v>43</v>
      </c>
      <c r="B53" s="51" t="s">
        <v>63</v>
      </c>
      <c r="C53" s="51"/>
      <c r="D53" s="27"/>
      <c r="E53" s="27"/>
      <c r="F53" s="28"/>
      <c r="G53" s="52">
        <v>6.0000000000000001E-3</v>
      </c>
      <c r="H53" s="28">
        <f t="shared" si="0"/>
        <v>6.8046599999999993</v>
      </c>
      <c r="I53" s="121">
        <f>H54+H43</f>
        <v>502.61759166400003</v>
      </c>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273" t="s">
        <v>65</v>
      </c>
      <c r="C55" s="273"/>
      <c r="D55" s="273"/>
      <c r="E55" s="273"/>
      <c r="F55" s="273"/>
      <c r="G55" s="273"/>
      <c r="H55" s="273"/>
    </row>
    <row r="56" spans="1:13" ht="15.75" x14ac:dyDescent="0.25">
      <c r="A56" s="6" t="s">
        <v>66</v>
      </c>
      <c r="B56" s="59"/>
      <c r="C56" s="59"/>
      <c r="D56" s="60" t="s">
        <v>67</v>
      </c>
      <c r="E56" s="60" t="s">
        <v>68</v>
      </c>
      <c r="F56" s="60" t="s">
        <v>69</v>
      </c>
      <c r="G56" s="60" t="s">
        <v>70</v>
      </c>
      <c r="H56" s="6"/>
    </row>
    <row r="57" spans="1:13" ht="15.75" x14ac:dyDescent="0.25">
      <c r="A57" s="274" t="s">
        <v>4</v>
      </c>
      <c r="B57" s="6" t="s">
        <v>71</v>
      </c>
      <c r="C57" s="6"/>
      <c r="D57" s="275"/>
      <c r="E57" s="276"/>
      <c r="F57" s="277"/>
      <c r="G57" s="278"/>
      <c r="H57" s="35">
        <f>F57*E57*D57</f>
        <v>0</v>
      </c>
    </row>
    <row r="58" spans="1:13" ht="15.75" x14ac:dyDescent="0.25">
      <c r="A58" s="274"/>
      <c r="B58" s="6" t="s">
        <v>72</v>
      </c>
      <c r="C58" s="6"/>
      <c r="D58" s="275"/>
      <c r="E58" s="275"/>
      <c r="F58" s="275"/>
      <c r="G58" s="275"/>
      <c r="H58" s="35">
        <f>H27*G57</f>
        <v>0</v>
      </c>
    </row>
    <row r="59" spans="1:13" ht="15.75" x14ac:dyDescent="0.25">
      <c r="A59" s="274"/>
      <c r="B59" s="8" t="s">
        <v>73</v>
      </c>
      <c r="C59" s="8"/>
      <c r="D59" s="8"/>
      <c r="E59" s="27"/>
      <c r="F59" s="27"/>
      <c r="G59" s="61"/>
      <c r="H59" s="35">
        <f>H57-H58</f>
        <v>0</v>
      </c>
    </row>
    <row r="60" spans="1:13" ht="15.75" x14ac:dyDescent="0.25">
      <c r="A60" s="274" t="s">
        <v>7</v>
      </c>
      <c r="B60" s="6" t="s">
        <v>74</v>
      </c>
      <c r="C60" s="6"/>
      <c r="D60" s="275">
        <v>1</v>
      </c>
      <c r="E60" s="276">
        <v>1</v>
      </c>
      <c r="F60" s="277">
        <v>0</v>
      </c>
      <c r="G60" s="278">
        <v>0.2</v>
      </c>
      <c r="H60" s="35">
        <f>F60*E60*D60</f>
        <v>0</v>
      </c>
    </row>
    <row r="61" spans="1:13" ht="15.75" x14ac:dyDescent="0.25">
      <c r="A61" s="274"/>
      <c r="B61" s="6" t="s">
        <v>72</v>
      </c>
      <c r="C61" s="6"/>
      <c r="D61" s="275"/>
      <c r="E61" s="275"/>
      <c r="F61" s="275"/>
      <c r="G61" s="275"/>
      <c r="H61" s="35">
        <f>H60*G60</f>
        <v>0</v>
      </c>
    </row>
    <row r="62" spans="1:13" ht="15.75" x14ac:dyDescent="0.25">
      <c r="A62" s="274"/>
      <c r="B62" s="279" t="s">
        <v>75</v>
      </c>
      <c r="C62" s="279"/>
      <c r="D62" s="279"/>
      <c r="E62" s="279"/>
      <c r="F62" s="13"/>
      <c r="G62" s="13"/>
      <c r="H62" s="35">
        <f>H60-H61</f>
        <v>0</v>
      </c>
    </row>
    <row r="63" spans="1:13" ht="15.75" x14ac:dyDescent="0.25">
      <c r="A63" s="62" t="s">
        <v>9</v>
      </c>
      <c r="B63" s="279" t="s">
        <v>76</v>
      </c>
      <c r="C63" s="279"/>
      <c r="D63" s="279"/>
      <c r="E63" s="279"/>
      <c r="F63" s="13"/>
      <c r="G63" s="13"/>
      <c r="H63" s="35">
        <v>0</v>
      </c>
    </row>
    <row r="64" spans="1:13" ht="15.75" x14ac:dyDescent="0.25">
      <c r="A64" s="62" t="s">
        <v>17</v>
      </c>
      <c r="B64" s="117" t="s">
        <v>177</v>
      </c>
      <c r="C64" s="117"/>
      <c r="D64" s="117"/>
      <c r="E64" s="117" t="s">
        <v>163</v>
      </c>
      <c r="F64" s="13"/>
      <c r="G64" s="13"/>
      <c r="H64" s="35">
        <v>100</v>
      </c>
      <c r="J64" s="125"/>
      <c r="K64" s="13"/>
      <c r="L64" s="13"/>
      <c r="M64" s="35">
        <v>0</v>
      </c>
    </row>
    <row r="65" spans="1:13" ht="15.75" x14ac:dyDescent="0.25">
      <c r="A65" s="62" t="s">
        <v>40</v>
      </c>
      <c r="B65" s="116" t="s">
        <v>223</v>
      </c>
      <c r="C65" s="117"/>
      <c r="D65" s="117"/>
      <c r="E65" s="117"/>
      <c r="F65" s="13"/>
      <c r="G65" s="13"/>
      <c r="H65" s="35">
        <v>3.53</v>
      </c>
      <c r="J65" s="149"/>
      <c r="K65" s="13"/>
      <c r="L65" s="13"/>
      <c r="M65" s="35"/>
    </row>
    <row r="66" spans="1:13" ht="15.75" x14ac:dyDescent="0.25">
      <c r="A66" s="62" t="s">
        <v>42</v>
      </c>
      <c r="B66" s="116" t="s">
        <v>78</v>
      </c>
      <c r="C66" s="116"/>
      <c r="D66" s="116"/>
      <c r="E66" s="118">
        <v>0</v>
      </c>
      <c r="H66" s="35">
        <f>(1/12*(H27+H28+H30))*E66</f>
        <v>0</v>
      </c>
    </row>
    <row r="67" spans="1:13" ht="15.75" x14ac:dyDescent="0.25">
      <c r="A67" s="63"/>
      <c r="B67" s="280" t="s">
        <v>45</v>
      </c>
      <c r="C67" s="280"/>
      <c r="D67" s="280"/>
      <c r="E67" s="280"/>
      <c r="F67" s="64"/>
      <c r="G67" s="64"/>
      <c r="H67" s="65">
        <f>H59+H62+H63+H64+H65+H66</f>
        <v>103.53</v>
      </c>
    </row>
    <row r="68" spans="1:13" ht="15.75" x14ac:dyDescent="0.25">
      <c r="A68" s="273" t="s">
        <v>79</v>
      </c>
      <c r="B68" s="273"/>
      <c r="C68" s="273"/>
      <c r="D68" s="273"/>
      <c r="E68" s="273"/>
      <c r="F68" s="273"/>
      <c r="G68" s="273"/>
      <c r="H68" s="273"/>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103.53</v>
      </c>
    </row>
    <row r="72" spans="1:13" ht="15.75" x14ac:dyDescent="0.25">
      <c r="A72" s="63"/>
      <c r="B72" s="126" t="s">
        <v>45</v>
      </c>
      <c r="C72" s="126"/>
      <c r="D72" s="126"/>
      <c r="E72" s="126"/>
      <c r="F72" s="64"/>
      <c r="G72" s="64"/>
      <c r="H72" s="65">
        <f>SUM(H69:H71)</f>
        <v>837.84626466400005</v>
      </c>
    </row>
    <row r="73" spans="1:13" ht="15.75" x14ac:dyDescent="0.25">
      <c r="A73" s="68">
        <v>3</v>
      </c>
      <c r="B73" s="271" t="s">
        <v>83</v>
      </c>
      <c r="C73" s="271"/>
      <c r="D73" s="271"/>
      <c r="E73" s="271"/>
      <c r="F73" s="271"/>
      <c r="G73" s="271"/>
      <c r="H73" s="271"/>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2.0000000000000001E-4</v>
      </c>
      <c r="H76" s="72">
        <f>(ROUND(SUM($H$38*G76),2))</f>
        <v>0.23</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225</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1E-4</v>
      </c>
      <c r="H79" s="28">
        <f>SUM($H$38*G79)</f>
        <v>0.113411</v>
      </c>
    </row>
    <row r="80" spans="1:13" ht="15.75" x14ac:dyDescent="0.25">
      <c r="A80" s="73"/>
      <c r="B80" s="55" t="s">
        <v>45</v>
      </c>
      <c r="C80" s="55"/>
      <c r="D80" s="41"/>
      <c r="E80" s="41"/>
      <c r="F80" s="74"/>
      <c r="G80" s="57">
        <f>SUM(G74:G79)</f>
        <v>3.1375200000000006E-2</v>
      </c>
      <c r="H80" s="58">
        <f>SUM(H74:H79)</f>
        <v>35.586106072</v>
      </c>
    </row>
    <row r="81" spans="1:9" ht="15.75" x14ac:dyDescent="0.25">
      <c r="A81" s="44">
        <v>4</v>
      </c>
      <c r="B81" s="281" t="s">
        <v>90</v>
      </c>
      <c r="C81" s="281"/>
      <c r="D81" s="281"/>
      <c r="E81" s="281"/>
      <c r="F81" s="281"/>
      <c r="G81" s="281"/>
      <c r="H81" s="281"/>
    </row>
    <row r="82" spans="1:9" ht="15.75" x14ac:dyDescent="0.25">
      <c r="A82" s="75" t="s">
        <v>91</v>
      </c>
      <c r="B82" s="273" t="s">
        <v>236</v>
      </c>
      <c r="C82" s="273"/>
      <c r="D82" s="273"/>
      <c r="E82" s="273"/>
      <c r="F82" s="273"/>
      <c r="G82" s="273"/>
      <c r="H82" s="273"/>
    </row>
    <row r="83" spans="1:9" ht="15.75" x14ac:dyDescent="0.25">
      <c r="A83" s="12" t="s">
        <v>4</v>
      </c>
      <c r="B83" s="51" t="s">
        <v>226</v>
      </c>
      <c r="C83" s="51"/>
      <c r="D83" s="53"/>
      <c r="E83" s="53"/>
      <c r="F83" s="53"/>
      <c r="G83" s="45">
        <f>(G41+G42)/12</f>
        <v>1.7024999999999998E-2</v>
      </c>
      <c r="H83" s="28"/>
    </row>
    <row r="84" spans="1:9" ht="15.75" x14ac:dyDescent="0.25">
      <c r="A84" s="123" t="s">
        <v>7</v>
      </c>
      <c r="B84" s="51" t="s">
        <v>227</v>
      </c>
      <c r="C84" s="272" t="s">
        <v>95</v>
      </c>
      <c r="D84" s="76">
        <v>1</v>
      </c>
      <c r="E84" s="272" t="s">
        <v>96</v>
      </c>
      <c r="F84" s="77">
        <v>1</v>
      </c>
      <c r="G84" s="45">
        <f t="shared" ref="G84:G89" si="1">D84/360*F84</f>
        <v>2.7777777777777779E-3</v>
      </c>
      <c r="H84" s="28">
        <f t="shared" ref="H84:H88" si="2">SUM(H$38*G84)</f>
        <v>3.1503055555555552</v>
      </c>
    </row>
    <row r="85" spans="1:9" ht="15.75" x14ac:dyDescent="0.25">
      <c r="A85" s="12" t="s">
        <v>9</v>
      </c>
      <c r="B85" s="51" t="s">
        <v>228</v>
      </c>
      <c r="C85" s="272"/>
      <c r="D85" s="76">
        <v>20</v>
      </c>
      <c r="E85" s="272"/>
      <c r="F85" s="77">
        <v>1.4999999999999999E-2</v>
      </c>
      <c r="G85" s="45">
        <f t="shared" si="1"/>
        <v>8.3333333333333328E-4</v>
      </c>
      <c r="H85" s="28">
        <f t="shared" si="2"/>
        <v>0.94509166666666655</v>
      </c>
    </row>
    <row r="86" spans="1:9" ht="15.75" x14ac:dyDescent="0.25">
      <c r="A86" s="12" t="s">
        <v>17</v>
      </c>
      <c r="B86" s="51" t="s">
        <v>229</v>
      </c>
      <c r="C86" s="272"/>
      <c r="D86" s="76">
        <v>15</v>
      </c>
      <c r="E86" s="272"/>
      <c r="F86" s="78">
        <v>1.3299999999999999E-2</v>
      </c>
      <c r="G86" s="45">
        <f t="shared" si="1"/>
        <v>5.5416666666666657E-4</v>
      </c>
      <c r="H86" s="28">
        <f t="shared" si="2"/>
        <v>0.62848595833333321</v>
      </c>
    </row>
    <row r="87" spans="1:9" ht="15.75" x14ac:dyDescent="0.25">
      <c r="A87" s="12" t="s">
        <v>40</v>
      </c>
      <c r="B87" s="51" t="s">
        <v>230</v>
      </c>
      <c r="C87" s="272"/>
      <c r="D87" s="76">
        <v>180</v>
      </c>
      <c r="E87" s="272"/>
      <c r="F87" s="77">
        <v>1.8599999999999998E-2</v>
      </c>
      <c r="G87" s="45">
        <f t="shared" si="1"/>
        <v>9.2999999999999992E-3</v>
      </c>
      <c r="H87" s="28">
        <f t="shared" si="2"/>
        <v>10.547222999999999</v>
      </c>
    </row>
    <row r="88" spans="1:9" ht="15.75" x14ac:dyDescent="0.25">
      <c r="A88" s="12" t="s">
        <v>42</v>
      </c>
      <c r="B88" s="51" t="s">
        <v>231</v>
      </c>
      <c r="C88" s="272"/>
      <c r="D88" s="79">
        <v>5</v>
      </c>
      <c r="E88" s="272"/>
      <c r="F88" s="80">
        <v>1</v>
      </c>
      <c r="G88" s="45">
        <f t="shared" si="1"/>
        <v>1.3888888888888888E-2</v>
      </c>
      <c r="H88" s="81">
        <f t="shared" si="2"/>
        <v>15.751527777777776</v>
      </c>
    </row>
    <row r="89" spans="1:9" ht="15.75" x14ac:dyDescent="0.25">
      <c r="A89" s="12" t="s">
        <v>61</v>
      </c>
      <c r="B89" s="51" t="s">
        <v>101</v>
      </c>
      <c r="C89" s="272"/>
      <c r="D89" s="79"/>
      <c r="E89" s="272"/>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273" t="s">
        <v>232</v>
      </c>
      <c r="C93" s="273"/>
      <c r="D93" s="273"/>
      <c r="E93" s="273"/>
      <c r="F93" s="273"/>
      <c r="G93" s="273"/>
      <c r="H93" s="273"/>
    </row>
    <row r="94" spans="1:9" ht="15.75" x14ac:dyDescent="0.25">
      <c r="A94" s="12" t="s">
        <v>4</v>
      </c>
      <c r="B94" s="51" t="s">
        <v>234</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273" t="s">
        <v>108</v>
      </c>
      <c r="B97" s="273"/>
      <c r="C97" s="273"/>
      <c r="D97" s="273"/>
      <c r="E97" s="273"/>
      <c r="F97" s="273"/>
      <c r="G97" s="273"/>
      <c r="H97" s="273"/>
    </row>
    <row r="98" spans="1:10" ht="15.75" x14ac:dyDescent="0.25">
      <c r="A98" s="12" t="s">
        <v>91</v>
      </c>
      <c r="B98" s="51" t="s">
        <v>235</v>
      </c>
      <c r="C98" s="51"/>
      <c r="D98" s="53"/>
      <c r="E98" s="53"/>
      <c r="F98" s="53"/>
      <c r="G98" s="45">
        <f>G92</f>
        <v>6.0710699999999999E-2</v>
      </c>
      <c r="H98" s="28">
        <f>H92</f>
        <v>42.438963254999997</v>
      </c>
    </row>
    <row r="99" spans="1:10" ht="15.75" x14ac:dyDescent="0.25">
      <c r="A99" s="12" t="s">
        <v>104</v>
      </c>
      <c r="B99" s="51" t="s">
        <v>233</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273" t="s">
        <v>110</v>
      </c>
      <c r="C101" s="273"/>
      <c r="D101" s="273"/>
      <c r="E101" s="273"/>
      <c r="F101" s="273"/>
      <c r="G101" s="273"/>
      <c r="H101" s="273"/>
    </row>
    <row r="102" spans="1:10" ht="15.75" x14ac:dyDescent="0.25">
      <c r="A102" s="12" t="s">
        <v>4</v>
      </c>
      <c r="B102" s="13" t="s">
        <v>111</v>
      </c>
      <c r="C102" s="13"/>
      <c r="D102" s="84"/>
      <c r="E102" s="27"/>
      <c r="F102" s="85"/>
      <c r="G102" s="85"/>
      <c r="H102" s="85">
        <v>36.590000000000003</v>
      </c>
    </row>
    <row r="103" spans="1:10" ht="15.75" x14ac:dyDescent="0.25">
      <c r="A103" s="12" t="s">
        <v>7</v>
      </c>
      <c r="B103" s="13" t="s">
        <v>112</v>
      </c>
      <c r="C103" s="13"/>
      <c r="D103" s="84"/>
      <c r="E103" s="27"/>
      <c r="F103" s="85"/>
      <c r="G103" s="85"/>
      <c r="H103" s="85" t="s">
        <v>237</v>
      </c>
    </row>
    <row r="104" spans="1:10" ht="15.75" x14ac:dyDescent="0.25">
      <c r="A104" s="12" t="s">
        <v>9</v>
      </c>
      <c r="B104" s="13" t="s">
        <v>113</v>
      </c>
      <c r="C104" s="13"/>
      <c r="D104" s="84"/>
      <c r="E104" s="27"/>
      <c r="F104" s="85"/>
      <c r="G104" s="85"/>
      <c r="H104" s="85">
        <v>5.47</v>
      </c>
    </row>
    <row r="105" spans="1:10" ht="15.75" x14ac:dyDescent="0.25">
      <c r="A105" s="12" t="s">
        <v>17</v>
      </c>
      <c r="B105" s="13" t="s">
        <v>164</v>
      </c>
      <c r="C105" s="13"/>
      <c r="D105" s="84"/>
      <c r="E105" s="27"/>
      <c r="F105" s="85"/>
      <c r="G105" s="85"/>
      <c r="H105" s="85">
        <v>15.14</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57.2</v>
      </c>
    </row>
    <row r="108" spans="1:10" ht="15.75" x14ac:dyDescent="0.25">
      <c r="A108" s="83">
        <v>6</v>
      </c>
      <c r="B108" s="273" t="s">
        <v>114</v>
      </c>
      <c r="C108" s="273"/>
      <c r="D108" s="273"/>
      <c r="E108" s="273"/>
      <c r="F108" s="273"/>
      <c r="G108" s="273"/>
      <c r="H108" s="273"/>
    </row>
    <row r="109" spans="1:10" ht="15.75" x14ac:dyDescent="0.25">
      <c r="A109" s="86" t="s">
        <v>4</v>
      </c>
      <c r="B109" s="27"/>
      <c r="C109" s="27"/>
      <c r="D109" s="27"/>
      <c r="E109" s="27"/>
      <c r="F109" s="27" t="s">
        <v>115</v>
      </c>
      <c r="G109" s="52">
        <v>0.01</v>
      </c>
      <c r="H109" s="28">
        <f>G109*H124</f>
        <v>21.071813339909994</v>
      </c>
    </row>
    <row r="110" spans="1:10" ht="15.75" x14ac:dyDescent="0.25">
      <c r="A110" s="86" t="s">
        <v>7</v>
      </c>
      <c r="B110" s="27"/>
      <c r="C110" s="27"/>
      <c r="D110" s="27"/>
      <c r="E110" s="27"/>
      <c r="F110" s="12" t="s">
        <v>116</v>
      </c>
      <c r="G110" s="52">
        <v>0.01</v>
      </c>
      <c r="H110" s="28">
        <f>(H109+H124)*$G$110</f>
        <v>21.282531473309096</v>
      </c>
    </row>
    <row r="111" spans="1:10" ht="15.75" x14ac:dyDescent="0.25">
      <c r="A111" s="86" t="s">
        <v>9</v>
      </c>
      <c r="B111" s="27"/>
      <c r="C111" s="27"/>
      <c r="D111" s="27"/>
      <c r="E111" s="27"/>
      <c r="F111" s="12" t="s">
        <v>117</v>
      </c>
      <c r="G111" s="87">
        <f>SUM(G112:G116)</f>
        <v>8.6499999999999994E-2</v>
      </c>
      <c r="H111" s="28">
        <f>H113+H114+H116</f>
        <v>203.54114528359599</v>
      </c>
    </row>
    <row r="112" spans="1:10" ht="15.75" x14ac:dyDescent="0.25">
      <c r="A112" s="86" t="s">
        <v>118</v>
      </c>
      <c r="B112" s="27"/>
      <c r="C112" s="27"/>
      <c r="D112" s="27"/>
      <c r="E112" s="27"/>
      <c r="F112" s="88" t="s">
        <v>119</v>
      </c>
      <c r="G112" s="45">
        <v>0</v>
      </c>
      <c r="H112" s="28"/>
      <c r="J112" s="120"/>
    </row>
    <row r="113" spans="1:10" ht="15.75" x14ac:dyDescent="0.25">
      <c r="A113" s="86" t="s">
        <v>120</v>
      </c>
      <c r="B113" s="27"/>
      <c r="C113" s="27"/>
      <c r="D113" s="27"/>
      <c r="E113" s="27"/>
      <c r="F113" s="88" t="s">
        <v>121</v>
      </c>
      <c r="G113" s="52">
        <v>6.4999999999999997E-3</v>
      </c>
      <c r="H113" s="28">
        <f>((H109+H110+H124)/0.9135)*G113</f>
        <v>15.294999356570795</v>
      </c>
    </row>
    <row r="114" spans="1:10" ht="15.75" x14ac:dyDescent="0.25">
      <c r="A114" s="86" t="s">
        <v>122</v>
      </c>
      <c r="B114" s="27"/>
      <c r="C114" s="27"/>
      <c r="D114" s="27"/>
      <c r="E114" s="27"/>
      <c r="F114" s="88" t="s">
        <v>123</v>
      </c>
      <c r="G114" s="52">
        <v>0.03</v>
      </c>
      <c r="H114" s="28">
        <f>((H109+H110+H124)/0.9135)*G114</f>
        <v>70.592304722634438</v>
      </c>
    </row>
    <row r="115" spans="1:10" ht="15.75" x14ac:dyDescent="0.25">
      <c r="A115" s="86" t="s">
        <v>124</v>
      </c>
      <c r="B115" s="27"/>
      <c r="C115" s="27"/>
      <c r="D115" s="27"/>
      <c r="E115" s="27"/>
      <c r="F115" s="88" t="s">
        <v>125</v>
      </c>
      <c r="G115" s="45">
        <v>0</v>
      </c>
      <c r="H115" s="28"/>
    </row>
    <row r="116" spans="1:10" ht="15.75" x14ac:dyDescent="0.25">
      <c r="A116" s="86" t="s">
        <v>126</v>
      </c>
      <c r="B116" s="27"/>
      <c r="C116" s="27"/>
      <c r="D116" s="27"/>
      <c r="E116" s="27"/>
      <c r="F116" s="88" t="s">
        <v>127</v>
      </c>
      <c r="G116" s="45">
        <v>0.05</v>
      </c>
      <c r="H116" s="28">
        <f>((H109+H110+H124)/0.9135)*G116</f>
        <v>117.65384120439074</v>
      </c>
    </row>
    <row r="117" spans="1:10" ht="15.75" x14ac:dyDescent="0.25">
      <c r="A117" s="73"/>
      <c r="B117" s="55" t="s">
        <v>45</v>
      </c>
      <c r="C117" s="55"/>
      <c r="D117" s="41"/>
      <c r="E117" s="41"/>
      <c r="F117" s="74"/>
      <c r="G117" s="57">
        <f>G111+G110+G109</f>
        <v>0.10649999999999998</v>
      </c>
      <c r="H117" s="58">
        <f>H109+H110+H111</f>
        <v>245.89549009681508</v>
      </c>
    </row>
    <row r="118" spans="1:10" ht="15.75" x14ac:dyDescent="0.25">
      <c r="A118" s="89"/>
      <c r="B118" s="271" t="s">
        <v>128</v>
      </c>
      <c r="C118" s="271"/>
      <c r="D118" s="271"/>
      <c r="E118" s="271"/>
      <c r="F118" s="271"/>
      <c r="G118" s="271"/>
      <c r="H118" s="271"/>
    </row>
    <row r="119" spans="1:10" ht="15.75" x14ac:dyDescent="0.25">
      <c r="A119" s="90" t="s">
        <v>4</v>
      </c>
      <c r="B119" s="27" t="s">
        <v>30</v>
      </c>
      <c r="C119" s="27"/>
      <c r="D119" s="27"/>
      <c r="E119" s="27"/>
      <c r="F119" s="28"/>
      <c r="G119" s="45">
        <f>SUM(H119/H$126)</f>
        <v>0.48196896437482228</v>
      </c>
      <c r="H119" s="28">
        <f>SUM(H38)</f>
        <v>1134.1099999999999</v>
      </c>
    </row>
    <row r="120" spans="1:10" ht="15.75" x14ac:dyDescent="0.25">
      <c r="A120" s="90" t="s">
        <v>7</v>
      </c>
      <c r="B120" s="27" t="s">
        <v>129</v>
      </c>
      <c r="C120" s="27"/>
      <c r="D120" s="27"/>
      <c r="E120" s="27"/>
      <c r="F120" s="28"/>
      <c r="G120" s="45">
        <f>SUM(H120/H$126)</f>
        <v>0.3560641353002984</v>
      </c>
      <c r="H120" s="28">
        <f>H72</f>
        <v>837.84626466400005</v>
      </c>
    </row>
    <row r="121" spans="1:10" ht="15.75" x14ac:dyDescent="0.25">
      <c r="A121" s="90" t="s">
        <v>9</v>
      </c>
      <c r="B121" s="27" t="s">
        <v>130</v>
      </c>
      <c r="C121" s="27"/>
      <c r="D121" s="27"/>
      <c r="E121" s="27"/>
      <c r="F121" s="28"/>
      <c r="G121" s="45">
        <f>SUM(H121/H$126)</f>
        <v>1.5123223223192121E-2</v>
      </c>
      <c r="H121" s="28">
        <f>H80</f>
        <v>35.586106072</v>
      </c>
    </row>
    <row r="122" spans="1:10" ht="15.75" x14ac:dyDescent="0.25">
      <c r="A122" s="90" t="s">
        <v>17</v>
      </c>
      <c r="B122" s="27" t="s">
        <v>131</v>
      </c>
      <c r="C122" s="27"/>
      <c r="D122" s="27"/>
      <c r="E122" s="27"/>
      <c r="F122" s="28"/>
      <c r="G122" s="45">
        <f>SUM(H122/H$126)</f>
        <v>1.8035519631388039E-2</v>
      </c>
      <c r="H122" s="28">
        <f>H100</f>
        <v>42.438963254999997</v>
      </c>
      <c r="J122" s="115">
        <f>H109+H110+H124</f>
        <v>2149.5356788042186</v>
      </c>
    </row>
    <row r="123" spans="1:10" ht="15.75" x14ac:dyDescent="0.25">
      <c r="A123" s="90" t="s">
        <v>40</v>
      </c>
      <c r="B123" s="27" t="s">
        <v>110</v>
      </c>
      <c r="C123" s="27"/>
      <c r="D123" s="27"/>
      <c r="E123" s="27"/>
      <c r="F123" s="28"/>
      <c r="G123" s="45">
        <f>H123/H126</f>
        <v>2.4308598603521563E-2</v>
      </c>
      <c r="H123" s="28">
        <f>H107</f>
        <v>57.2</v>
      </c>
      <c r="J123" s="115">
        <f>J122/0.9135</f>
        <v>2353.0768240878147</v>
      </c>
    </row>
    <row r="124" spans="1:10" ht="15.75" x14ac:dyDescent="0.25">
      <c r="A124" s="90"/>
      <c r="B124" s="27" t="s">
        <v>132</v>
      </c>
      <c r="C124" s="27"/>
      <c r="D124" s="27"/>
      <c r="E124" s="27"/>
      <c r="F124" s="28"/>
      <c r="G124" s="45">
        <f>SUM(G119:G123)</f>
        <v>0.89550044113322236</v>
      </c>
      <c r="H124" s="28">
        <f>SUM(H119:H123)</f>
        <v>2107.1813339909995</v>
      </c>
    </row>
    <row r="125" spans="1:10" ht="15.75" x14ac:dyDescent="0.25">
      <c r="A125" s="90" t="s">
        <v>40</v>
      </c>
      <c r="B125" s="27" t="s">
        <v>133</v>
      </c>
      <c r="C125" s="27"/>
      <c r="D125" s="27"/>
      <c r="E125" s="27"/>
      <c r="F125" s="28"/>
      <c r="G125" s="45">
        <f>SUM(H125/H$126)</f>
        <v>0.10449955886677778</v>
      </c>
      <c r="H125" s="28">
        <f>H117</f>
        <v>245.89549009681508</v>
      </c>
    </row>
    <row r="126" spans="1:10" ht="15.75" x14ac:dyDescent="0.25">
      <c r="A126" s="55"/>
      <c r="B126" s="55" t="s">
        <v>134</v>
      </c>
      <c r="C126" s="55"/>
      <c r="D126" s="55"/>
      <c r="E126" s="55"/>
      <c r="F126" s="55"/>
      <c r="G126" s="55">
        <f>SUM(G124+G125)</f>
        <v>1.0000000000000002</v>
      </c>
      <c r="H126" s="91">
        <f>H125+H124</f>
        <v>2353.0768240878147</v>
      </c>
    </row>
    <row r="127" spans="1:10" ht="15.75" x14ac:dyDescent="0.25">
      <c r="A127" s="92"/>
      <c r="B127" s="271" t="s">
        <v>135</v>
      </c>
      <c r="C127" s="271"/>
      <c r="D127" s="271"/>
      <c r="E127" s="271"/>
      <c r="F127" s="271"/>
      <c r="G127" s="271"/>
      <c r="H127" s="271"/>
    </row>
    <row r="128" spans="1:10"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2353.0768240878147</v>
      </c>
      <c r="E130" s="100">
        <v>1</v>
      </c>
      <c r="F130" s="99">
        <f>D130*E130</f>
        <v>2353.0768240878147</v>
      </c>
      <c r="G130" s="101">
        <v>1</v>
      </c>
      <c r="H130" s="28">
        <f>E130*D130</f>
        <v>2353.0768240878147</v>
      </c>
    </row>
    <row r="131" spans="1:8" ht="15.75" x14ac:dyDescent="0.25">
      <c r="A131" s="27"/>
      <c r="B131" s="102" t="s">
        <v>147</v>
      </c>
      <c r="C131" s="102"/>
      <c r="D131" s="103"/>
      <c r="E131" s="103"/>
      <c r="F131" s="103"/>
      <c r="G131" s="103"/>
      <c r="H131" s="104">
        <f>SUM(H130)</f>
        <v>2353.0768240878147</v>
      </c>
    </row>
    <row r="132" spans="1:8" ht="15.75" x14ac:dyDescent="0.25">
      <c r="A132" s="27"/>
      <c r="B132" s="16"/>
      <c r="C132" s="16"/>
      <c r="D132" s="105"/>
      <c r="E132" s="16"/>
      <c r="F132" s="16"/>
      <c r="G132" s="16"/>
      <c r="H132" s="16"/>
    </row>
    <row r="133" spans="1:8" ht="15.75" x14ac:dyDescent="0.25">
      <c r="A133" s="83"/>
      <c r="B133" s="271" t="s">
        <v>148</v>
      </c>
      <c r="C133" s="271"/>
      <c r="D133" s="271"/>
      <c r="E133" s="271"/>
      <c r="F133" s="271"/>
      <c r="G133" s="271"/>
      <c r="H133" s="271"/>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2353.0768240878147</v>
      </c>
    </row>
    <row r="136" spans="1:8" ht="15.75" x14ac:dyDescent="0.25">
      <c r="A136" s="108" t="s">
        <v>7</v>
      </c>
      <c r="B136" s="109" t="s">
        <v>152</v>
      </c>
      <c r="C136" s="109"/>
      <c r="D136" s="109"/>
      <c r="E136" s="13"/>
      <c r="F136" s="13"/>
      <c r="G136" s="13"/>
      <c r="H136" s="107">
        <f>H131</f>
        <v>2353.0768240878147</v>
      </c>
    </row>
    <row r="137" spans="1:8" ht="15.75" x14ac:dyDescent="0.25">
      <c r="A137" s="108" t="s">
        <v>17</v>
      </c>
      <c r="B137" s="7" t="s">
        <v>153</v>
      </c>
      <c r="C137" s="7"/>
      <c r="D137" s="109"/>
      <c r="E137" s="13"/>
      <c r="F137" s="13"/>
      <c r="G137" s="100">
        <v>12</v>
      </c>
      <c r="H137" s="107">
        <f>SUM(H136*G137)</f>
        <v>28236.921889053774</v>
      </c>
    </row>
    <row r="138" spans="1:8" ht="15.75" x14ac:dyDescent="0.25">
      <c r="A138" s="6"/>
      <c r="B138" s="6"/>
      <c r="C138" s="6"/>
      <c r="D138" s="6"/>
      <c r="E138" s="6"/>
      <c r="F138" s="6"/>
      <c r="G138" s="6"/>
      <c r="H138" s="6"/>
    </row>
    <row r="140" spans="1:8" x14ac:dyDescent="0.25">
      <c r="A140" s="150" t="s">
        <v>203</v>
      </c>
      <c r="B140" s="150"/>
    </row>
    <row r="141" spans="1:8" x14ac:dyDescent="0.25">
      <c r="A141" s="150" t="s">
        <v>204</v>
      </c>
      <c r="B141" s="150"/>
    </row>
    <row r="142" spans="1:8" x14ac:dyDescent="0.25">
      <c r="A142" s="150" t="s">
        <v>205</v>
      </c>
      <c r="B142" s="150"/>
    </row>
    <row r="143" spans="1:8" x14ac:dyDescent="0.25">
      <c r="A143" s="150"/>
      <c r="B143" s="150"/>
    </row>
    <row r="144" spans="1:8" x14ac:dyDescent="0.25">
      <c r="A144" s="150" t="s">
        <v>206</v>
      </c>
      <c r="B144" s="150"/>
    </row>
    <row r="146" spans="1:6" x14ac:dyDescent="0.25">
      <c r="A146" t="s">
        <v>207</v>
      </c>
    </row>
    <row r="147" spans="1:6" x14ac:dyDescent="0.25">
      <c r="A147" s="150" t="s">
        <v>208</v>
      </c>
    </row>
    <row r="148" spans="1:6" x14ac:dyDescent="0.25">
      <c r="A148" s="150" t="s">
        <v>209</v>
      </c>
    </row>
    <row r="149" spans="1:6" x14ac:dyDescent="0.25">
      <c r="A149" s="150"/>
    </row>
    <row r="150" spans="1:6" x14ac:dyDescent="0.25">
      <c r="A150" s="150" t="s">
        <v>210</v>
      </c>
    </row>
    <row r="151" spans="1:6" x14ac:dyDescent="0.25">
      <c r="A151" s="150"/>
    </row>
    <row r="152" spans="1:6" x14ac:dyDescent="0.25">
      <c r="A152" s="150" t="s">
        <v>211</v>
      </c>
    </row>
    <row r="153" spans="1:6" x14ac:dyDescent="0.25">
      <c r="A153" s="150" t="s">
        <v>212</v>
      </c>
    </row>
    <row r="154" spans="1:6" x14ac:dyDescent="0.25">
      <c r="A154" s="150"/>
    </row>
    <row r="155" spans="1:6" x14ac:dyDescent="0.25">
      <c r="A155" s="150" t="s">
        <v>206</v>
      </c>
    </row>
    <row r="156" spans="1:6" x14ac:dyDescent="0.25">
      <c r="A156" s="150" t="s">
        <v>222</v>
      </c>
    </row>
    <row r="157" spans="1:6" x14ac:dyDescent="0.25">
      <c r="B157" s="151" t="s">
        <v>213</v>
      </c>
      <c r="C157" s="152"/>
      <c r="D157" s="152"/>
      <c r="E157" s="152"/>
      <c r="F157" s="152"/>
    </row>
    <row r="158" spans="1:6" x14ac:dyDescent="0.25">
      <c r="B158" s="151"/>
      <c r="C158" s="152"/>
      <c r="D158" s="152"/>
      <c r="E158" s="152"/>
      <c r="F158" s="152"/>
    </row>
    <row r="159" spans="1:6" x14ac:dyDescent="0.25">
      <c r="B159" s="151" t="s">
        <v>214</v>
      </c>
      <c r="C159" s="152" t="s">
        <v>215</v>
      </c>
      <c r="D159" s="152" t="s">
        <v>216</v>
      </c>
      <c r="E159" s="152" t="s">
        <v>217</v>
      </c>
      <c r="F159" s="152" t="s">
        <v>218</v>
      </c>
    </row>
    <row r="160" spans="1:6" x14ac:dyDescent="0.25">
      <c r="B160" s="151" t="s">
        <v>219</v>
      </c>
      <c r="C160" s="153">
        <v>1.6500000000000001E-2</v>
      </c>
      <c r="D160" s="153">
        <v>7.5999999999999998E-2</v>
      </c>
      <c r="E160" s="154">
        <v>0.05</v>
      </c>
      <c r="F160" s="152">
        <v>0.85750000000000004</v>
      </c>
    </row>
    <row r="161" spans="1:6" x14ac:dyDescent="0.25">
      <c r="B161" s="151" t="s">
        <v>220</v>
      </c>
      <c r="C161" s="153">
        <v>6.4999999999999997E-3</v>
      </c>
      <c r="D161" s="154">
        <v>0.03</v>
      </c>
      <c r="E161" s="154">
        <v>0.05</v>
      </c>
      <c r="F161" s="152">
        <v>0.91349999999999998</v>
      </c>
    </row>
    <row r="162" spans="1:6" x14ac:dyDescent="0.25">
      <c r="B162" s="151" t="s">
        <v>221</v>
      </c>
      <c r="C162" s="153">
        <v>4.4000000000000003E-3</v>
      </c>
      <c r="D162" s="153">
        <v>2.35E-2</v>
      </c>
      <c r="E162" s="154">
        <v>0.05</v>
      </c>
      <c r="F162" s="152">
        <v>0.92210000000000003</v>
      </c>
    </row>
    <row r="164" spans="1:6" x14ac:dyDescent="0.25">
      <c r="A164" s="156" t="s">
        <v>224</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3"/>
  <sheetViews>
    <sheetView topLeftCell="A116" zoomScale="60" zoomScaleNormal="60" workbookViewId="0">
      <selection activeCell="H87" sqref="H87"/>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12.7109375" customWidth="1"/>
    <col min="10" max="10" width="12.5703125" bestFit="1" customWidth="1"/>
  </cols>
  <sheetData>
    <row r="1" spans="1:8" x14ac:dyDescent="0.25">
      <c r="A1" s="1"/>
      <c r="B1" s="1"/>
      <c r="C1" s="1"/>
      <c r="D1" s="1"/>
      <c r="E1" s="1"/>
      <c r="F1" s="1"/>
      <c r="G1" s="1"/>
      <c r="H1" s="2"/>
    </row>
    <row r="2" spans="1:8" ht="15.75" x14ac:dyDescent="0.25">
      <c r="A2" s="3" t="s">
        <v>239</v>
      </c>
      <c r="B2" s="3" t="s">
        <v>0</v>
      </c>
      <c r="C2" s="3"/>
      <c r="D2" s="4" t="s">
        <v>1</v>
      </c>
      <c r="E2" s="3"/>
      <c r="F2" s="3" t="s">
        <v>2</v>
      </c>
      <c r="G2" s="3"/>
      <c r="H2" s="5" t="s">
        <v>156</v>
      </c>
    </row>
    <row r="3" spans="1:8" ht="15.75" x14ac:dyDescent="0.25">
      <c r="A3" s="273" t="s">
        <v>3</v>
      </c>
      <c r="B3" s="273"/>
      <c r="C3" s="273"/>
      <c r="D3" s="273"/>
      <c r="E3" s="273"/>
      <c r="F3" s="273"/>
      <c r="G3" s="273"/>
      <c r="H3" s="273"/>
    </row>
    <row r="4" spans="1:8" ht="15.75" x14ac:dyDescent="0.25">
      <c r="A4" s="6" t="s">
        <v>4</v>
      </c>
      <c r="B4" s="7" t="s">
        <v>5</v>
      </c>
      <c r="C4" s="7"/>
      <c r="D4" s="8"/>
      <c r="E4" s="291" t="s">
        <v>6</v>
      </c>
      <c r="F4" s="291"/>
      <c r="G4" s="291"/>
      <c r="H4" s="291"/>
    </row>
    <row r="5" spans="1:8" ht="15.75" x14ac:dyDescent="0.25">
      <c r="A5" s="6" t="s">
        <v>7</v>
      </c>
      <c r="B5" s="7" t="s">
        <v>8</v>
      </c>
      <c r="C5" s="7"/>
      <c r="D5" s="9"/>
      <c r="E5" s="291"/>
      <c r="F5" s="291"/>
      <c r="G5" s="291"/>
      <c r="H5" s="291"/>
    </row>
    <row r="6" spans="1:8" ht="15.75" x14ac:dyDescent="0.25">
      <c r="A6" s="6" t="s">
        <v>9</v>
      </c>
      <c r="B6" s="7" t="s">
        <v>10</v>
      </c>
      <c r="C6" s="7"/>
      <c r="D6" s="10" t="s">
        <v>11</v>
      </c>
      <c r="E6" s="291"/>
      <c r="F6" s="291"/>
      <c r="G6" s="291"/>
      <c r="H6" s="291"/>
    </row>
    <row r="7" spans="1:8" ht="15.75" x14ac:dyDescent="0.25">
      <c r="A7" s="292"/>
      <c r="B7" s="292"/>
      <c r="C7" s="292"/>
      <c r="D7" s="292"/>
      <c r="E7" s="11"/>
      <c r="F7" s="11"/>
      <c r="G7" s="11"/>
      <c r="H7" s="11"/>
    </row>
    <row r="8" spans="1:8" ht="15.75" x14ac:dyDescent="0.25">
      <c r="A8" s="273" t="s">
        <v>12</v>
      </c>
      <c r="B8" s="273"/>
      <c r="C8" s="273"/>
      <c r="D8" s="273"/>
      <c r="E8" s="273"/>
      <c r="F8" s="273"/>
      <c r="G8" s="273"/>
      <c r="H8" s="273"/>
    </row>
    <row r="9" spans="1:8" x14ac:dyDescent="0.25">
      <c r="A9" s="12" t="s">
        <v>4</v>
      </c>
      <c r="B9" s="13" t="s">
        <v>13</v>
      </c>
      <c r="C9" s="13"/>
      <c r="D9" s="285" t="s">
        <v>14</v>
      </c>
      <c r="E9" s="285"/>
      <c r="F9" s="285"/>
      <c r="G9" s="285"/>
      <c r="H9" s="285"/>
    </row>
    <row r="10" spans="1:8" x14ac:dyDescent="0.25">
      <c r="A10" s="12" t="s">
        <v>7</v>
      </c>
      <c r="B10" s="13" t="s">
        <v>15</v>
      </c>
      <c r="C10" s="13"/>
      <c r="D10" s="293" t="s">
        <v>184</v>
      </c>
      <c r="E10" s="293"/>
      <c r="F10" s="293"/>
      <c r="G10" s="293"/>
      <c r="H10" s="293"/>
    </row>
    <row r="11" spans="1:8" x14ac:dyDescent="0.25">
      <c r="A11" s="12" t="s">
        <v>9</v>
      </c>
      <c r="B11" s="13" t="s">
        <v>16</v>
      </c>
      <c r="C11" s="13"/>
      <c r="D11" s="293" t="s">
        <v>174</v>
      </c>
      <c r="E11" s="293"/>
      <c r="F11" s="293"/>
      <c r="G11" s="293"/>
      <c r="H11" s="293"/>
    </row>
    <row r="12" spans="1:8" x14ac:dyDescent="0.25">
      <c r="A12" s="12" t="s">
        <v>17</v>
      </c>
      <c r="B12" s="13" t="s">
        <v>18</v>
      </c>
      <c r="C12" s="13"/>
      <c r="D12" s="293">
        <v>12</v>
      </c>
      <c r="E12" s="293"/>
      <c r="F12" s="293"/>
      <c r="G12" s="293"/>
      <c r="H12" s="293"/>
    </row>
    <row r="13" spans="1:8" x14ac:dyDescent="0.25">
      <c r="A13" s="12"/>
      <c r="B13" s="13"/>
      <c r="C13" s="13"/>
      <c r="D13" s="14"/>
      <c r="E13" s="14"/>
      <c r="F13" s="14"/>
      <c r="G13" s="14"/>
      <c r="H13" s="15"/>
    </row>
    <row r="14" spans="1:8" ht="15.75" x14ac:dyDescent="0.25">
      <c r="A14" s="273" t="s">
        <v>19</v>
      </c>
      <c r="B14" s="273"/>
      <c r="C14" s="273"/>
      <c r="D14" s="273"/>
      <c r="E14" s="273"/>
      <c r="F14" s="273"/>
      <c r="G14" s="273"/>
      <c r="H14" s="273"/>
    </row>
    <row r="15" spans="1:8" ht="15.75" x14ac:dyDescent="0.25">
      <c r="A15" s="12"/>
      <c r="B15" s="16" t="s">
        <v>20</v>
      </c>
      <c r="C15" s="16"/>
      <c r="D15" s="17" t="s">
        <v>21</v>
      </c>
      <c r="E15" s="294" t="s">
        <v>22</v>
      </c>
      <c r="F15" s="294"/>
      <c r="G15" s="294"/>
      <c r="H15" s="294"/>
    </row>
    <row r="16" spans="1:8" x14ac:dyDescent="0.25">
      <c r="A16" s="12" t="s">
        <v>4</v>
      </c>
      <c r="B16" s="18" t="s">
        <v>180</v>
      </c>
      <c r="C16" s="19"/>
      <c r="D16" s="20" t="s">
        <v>23</v>
      </c>
      <c r="E16" s="295">
        <v>1</v>
      </c>
      <c r="F16" s="295"/>
      <c r="G16" s="295"/>
      <c r="H16" s="295"/>
    </row>
    <row r="17" spans="1:13" x14ac:dyDescent="0.25">
      <c r="A17" s="12" t="s">
        <v>7</v>
      </c>
      <c r="B17" s="13"/>
      <c r="C17" s="13"/>
      <c r="D17" s="21"/>
      <c r="E17" s="283"/>
      <c r="F17" s="283"/>
      <c r="G17" s="283"/>
      <c r="H17" s="283"/>
    </row>
    <row r="18" spans="1:13" x14ac:dyDescent="0.25">
      <c r="A18" s="12" t="s">
        <v>9</v>
      </c>
      <c r="B18" s="13"/>
      <c r="C18" s="13"/>
      <c r="D18" s="21"/>
      <c r="E18" s="283"/>
      <c r="F18" s="283"/>
      <c r="G18" s="283"/>
      <c r="H18" s="283"/>
    </row>
    <row r="19" spans="1:13" ht="15.75" x14ac:dyDescent="0.25">
      <c r="A19" s="110"/>
      <c r="B19" s="273" t="s">
        <v>24</v>
      </c>
      <c r="C19" s="273"/>
      <c r="D19" s="273"/>
      <c r="E19" s="273"/>
      <c r="F19" s="273"/>
      <c r="G19" s="273"/>
      <c r="H19" s="273"/>
    </row>
    <row r="20" spans="1:13" ht="15.75" x14ac:dyDescent="0.25">
      <c r="A20" s="284" t="s">
        <v>25</v>
      </c>
      <c r="B20" s="284"/>
      <c r="C20" s="284"/>
      <c r="D20" s="284"/>
      <c r="E20" s="284"/>
      <c r="F20" s="284"/>
      <c r="G20" s="284"/>
      <c r="H20" s="284"/>
    </row>
    <row r="21" spans="1:13" x14ac:dyDescent="0.25">
      <c r="A21" s="12">
        <v>1</v>
      </c>
      <c r="B21" s="13" t="s">
        <v>20</v>
      </c>
      <c r="C21" s="13"/>
      <c r="D21" s="285" t="s">
        <v>175</v>
      </c>
      <c r="E21" s="285"/>
      <c r="F21" s="285"/>
      <c r="G21" s="285"/>
      <c r="H21" s="285"/>
    </row>
    <row r="22" spans="1:13" x14ac:dyDescent="0.25">
      <c r="A22" s="12">
        <v>2</v>
      </c>
      <c r="B22" s="13" t="s">
        <v>26</v>
      </c>
      <c r="C22" s="13"/>
      <c r="D22" s="286" t="s">
        <v>176</v>
      </c>
      <c r="E22" s="286"/>
      <c r="F22" s="286"/>
      <c r="G22" s="286"/>
      <c r="H22" s="286"/>
    </row>
    <row r="23" spans="1:13" x14ac:dyDescent="0.25">
      <c r="A23" s="12">
        <v>3</v>
      </c>
      <c r="B23" s="13" t="s">
        <v>27</v>
      </c>
      <c r="C23" s="13"/>
      <c r="D23" s="22">
        <v>988.8</v>
      </c>
      <c r="E23" s="23"/>
      <c r="F23" s="23"/>
      <c r="G23" s="23"/>
      <c r="H23" s="23"/>
    </row>
    <row r="24" spans="1:13" ht="30" x14ac:dyDescent="0.25">
      <c r="A24" s="1">
        <v>4</v>
      </c>
      <c r="B24" s="24" t="s">
        <v>28</v>
      </c>
      <c r="C24" s="24"/>
      <c r="D24" s="287" t="s">
        <v>170</v>
      </c>
      <c r="E24" s="287"/>
      <c r="F24" s="287"/>
      <c r="G24" s="287"/>
      <c r="H24" s="287"/>
    </row>
    <row r="25" spans="1:13" x14ac:dyDescent="0.25">
      <c r="A25" s="1">
        <v>5</v>
      </c>
      <c r="B25" s="25" t="s">
        <v>29</v>
      </c>
      <c r="C25" s="25"/>
      <c r="D25" s="288" t="s">
        <v>171</v>
      </c>
      <c r="E25" s="288"/>
      <c r="F25" s="288"/>
      <c r="G25" s="288"/>
      <c r="H25" s="288"/>
    </row>
    <row r="26" spans="1:13" ht="15.75" x14ac:dyDescent="0.25">
      <c r="A26" s="26">
        <v>1</v>
      </c>
      <c r="B26" s="271" t="s">
        <v>30</v>
      </c>
      <c r="C26" s="271"/>
      <c r="D26" s="271"/>
      <c r="E26" s="271"/>
      <c r="F26" s="271"/>
      <c r="G26" s="271"/>
      <c r="H26" s="271"/>
    </row>
    <row r="27" spans="1:13" ht="15.75" x14ac:dyDescent="0.25">
      <c r="A27" s="1" t="s">
        <v>4</v>
      </c>
      <c r="B27" s="27" t="s">
        <v>31</v>
      </c>
      <c r="C27" s="27"/>
      <c r="D27" s="27"/>
      <c r="G27" s="28"/>
      <c r="H27" s="29">
        <v>988.8</v>
      </c>
      <c r="M27">
        <v>111.9</v>
      </c>
    </row>
    <row r="28" spans="1:13" ht="15.75" x14ac:dyDescent="0.25">
      <c r="A28" s="1" t="s">
        <v>7</v>
      </c>
      <c r="B28" s="6" t="s">
        <v>32</v>
      </c>
      <c r="C28" s="6"/>
      <c r="D28" s="30" t="s">
        <v>33</v>
      </c>
      <c r="E28" s="31">
        <v>0</v>
      </c>
      <c r="H28" s="32">
        <f>H27*E28</f>
        <v>0</v>
      </c>
    </row>
    <row r="29" spans="1:13" ht="15.75" x14ac:dyDescent="0.25">
      <c r="A29" s="1" t="s">
        <v>9</v>
      </c>
      <c r="B29" s="6" t="s">
        <v>34</v>
      </c>
      <c r="C29" s="6"/>
      <c r="D29" s="33" t="s">
        <v>35</v>
      </c>
      <c r="E29" s="34" t="s">
        <v>36</v>
      </c>
      <c r="F29" s="33" t="s">
        <v>37</v>
      </c>
      <c r="G29" s="35"/>
      <c r="H29" s="32">
        <f>E30*F30</f>
        <v>0</v>
      </c>
    </row>
    <row r="30" spans="1:13" ht="15.75" x14ac:dyDescent="0.25">
      <c r="A30" s="1" t="s">
        <v>17</v>
      </c>
      <c r="B30" s="6" t="s">
        <v>38</v>
      </c>
      <c r="C30" s="6"/>
      <c r="D30" s="30" t="s">
        <v>39</v>
      </c>
      <c r="E30" s="36">
        <v>0</v>
      </c>
      <c r="F30" s="37">
        <v>954</v>
      </c>
      <c r="G30" s="27"/>
      <c r="H30" s="38"/>
    </row>
    <row r="31" spans="1:13" ht="15.75" x14ac:dyDescent="0.25">
      <c r="A31" s="1" t="s">
        <v>40</v>
      </c>
      <c r="B31" s="6" t="s">
        <v>41</v>
      </c>
      <c r="C31" s="6"/>
      <c r="G31" s="35"/>
      <c r="H31" s="38"/>
    </row>
    <row r="32" spans="1:13" ht="15.75" x14ac:dyDescent="0.25">
      <c r="A32" s="1" t="s">
        <v>42</v>
      </c>
      <c r="B32" s="6" t="s">
        <v>159</v>
      </c>
      <c r="C32" s="6"/>
      <c r="G32" s="35"/>
      <c r="H32" s="38"/>
    </row>
    <row r="33" spans="1:10" ht="15.75" x14ac:dyDescent="0.25">
      <c r="A33" s="1" t="s">
        <v>61</v>
      </c>
      <c r="B33" s="6" t="s">
        <v>155</v>
      </c>
      <c r="C33" s="6"/>
      <c r="G33" s="35"/>
      <c r="H33" s="38"/>
    </row>
    <row r="34" spans="1:10" ht="15.75" x14ac:dyDescent="0.25">
      <c r="A34" s="1" t="s">
        <v>43</v>
      </c>
      <c r="B34" s="8" t="s">
        <v>160</v>
      </c>
      <c r="C34" s="8"/>
      <c r="G34" s="35"/>
      <c r="H34" s="38"/>
    </row>
    <row r="35" spans="1:10" ht="15.75" x14ac:dyDescent="0.25">
      <c r="A35" s="1" t="s">
        <v>161</v>
      </c>
      <c r="B35" s="8" t="s">
        <v>162</v>
      </c>
      <c r="C35" s="8"/>
      <c r="G35" s="35"/>
      <c r="H35" s="38"/>
      <c r="J35" s="121">
        <f>SUM(H30:H35)</f>
        <v>0</v>
      </c>
    </row>
    <row r="36" spans="1:10" ht="15.75" x14ac:dyDescent="0.25">
      <c r="A36" s="1" t="s">
        <v>19</v>
      </c>
      <c r="B36" s="6" t="s">
        <v>44</v>
      </c>
      <c r="C36" s="6"/>
      <c r="D36" s="27"/>
      <c r="E36" s="27"/>
      <c r="F36" s="35"/>
      <c r="G36" s="35"/>
      <c r="H36" s="35">
        <v>0</v>
      </c>
    </row>
    <row r="37" spans="1:10" ht="15.75" x14ac:dyDescent="0.25">
      <c r="A37" s="39"/>
      <c r="B37" s="40" t="s">
        <v>45</v>
      </c>
      <c r="C37" s="40"/>
      <c r="D37" s="41"/>
      <c r="E37" s="41"/>
      <c r="F37" s="42"/>
      <c r="G37" s="42"/>
      <c r="H37" s="43">
        <f>SUM(H27:H36)</f>
        <v>988.8</v>
      </c>
    </row>
    <row r="38" spans="1:10" ht="15.75" x14ac:dyDescent="0.25">
      <c r="A38" s="44">
        <v>2</v>
      </c>
      <c r="B38" s="289" t="s">
        <v>46</v>
      </c>
      <c r="C38" s="289"/>
      <c r="D38" s="289"/>
      <c r="E38" s="289"/>
      <c r="F38" s="289"/>
      <c r="G38" s="289"/>
      <c r="H38" s="289"/>
    </row>
    <row r="39" spans="1:10" ht="15.75" x14ac:dyDescent="0.25">
      <c r="A39" s="124" t="s">
        <v>47</v>
      </c>
      <c r="B39" s="290" t="s">
        <v>48</v>
      </c>
      <c r="C39" s="290"/>
      <c r="D39" s="290"/>
      <c r="E39" s="290"/>
      <c r="F39" s="290"/>
      <c r="G39" s="290"/>
      <c r="H39" s="290"/>
    </row>
    <row r="40" spans="1:10" ht="15.75" x14ac:dyDescent="0.25">
      <c r="A40" s="1" t="s">
        <v>4</v>
      </c>
      <c r="B40" s="8" t="s">
        <v>49</v>
      </c>
      <c r="C40" s="8"/>
      <c r="D40" s="8"/>
      <c r="E40" s="27"/>
      <c r="F40" s="28"/>
      <c r="G40" s="45">
        <v>8.3299999999999999E-2</v>
      </c>
      <c r="H40" s="28">
        <f>SUM($H$37*G40)</f>
        <v>82.367039999999989</v>
      </c>
    </row>
    <row r="41" spans="1:10" ht="15.75" x14ac:dyDescent="0.25">
      <c r="A41" s="1" t="s">
        <v>7</v>
      </c>
      <c r="B41" s="27" t="s">
        <v>50</v>
      </c>
      <c r="C41" s="27"/>
      <c r="D41" s="27"/>
      <c r="E41" s="27"/>
      <c r="F41" s="46"/>
      <c r="G41" s="47">
        <v>0.121</v>
      </c>
      <c r="H41" s="28">
        <f>SUM($H$37*G41)</f>
        <v>119.64479999999999</v>
      </c>
    </row>
    <row r="42" spans="1:10" ht="15.75" x14ac:dyDescent="0.25">
      <c r="A42" s="1" t="s">
        <v>9</v>
      </c>
      <c r="B42" s="48" t="s">
        <v>51</v>
      </c>
      <c r="C42" s="48"/>
      <c r="D42" s="27"/>
      <c r="E42" s="27"/>
      <c r="F42" s="46"/>
      <c r="G42" s="47">
        <f>G41+G40*G53</f>
        <v>0.15165439999999999</v>
      </c>
      <c r="H42" s="28">
        <f>SUM(H40:H41)*G53</f>
        <v>74.340357120000007</v>
      </c>
    </row>
    <row r="43" spans="1:10" ht="15.75" x14ac:dyDescent="0.25">
      <c r="A43" s="49"/>
      <c r="B43" s="50" t="s">
        <v>45</v>
      </c>
      <c r="C43" s="40"/>
      <c r="D43" s="41"/>
      <c r="E43" s="41"/>
      <c r="F43" s="42"/>
      <c r="G43" s="42"/>
      <c r="H43" s="43">
        <f>SUM(H40:H42)</f>
        <v>276.35219711999997</v>
      </c>
    </row>
    <row r="44" spans="1:10" ht="15.75" x14ac:dyDescent="0.25">
      <c r="A44" s="110" t="s">
        <v>52</v>
      </c>
      <c r="B44" s="273" t="s">
        <v>53</v>
      </c>
      <c r="C44" s="273"/>
      <c r="D44" s="273"/>
      <c r="E44" s="273"/>
      <c r="F44" s="273"/>
      <c r="G44" s="273"/>
      <c r="H44" s="273"/>
    </row>
    <row r="45" spans="1:10" ht="15.75" x14ac:dyDescent="0.25">
      <c r="A45" s="1" t="s">
        <v>4</v>
      </c>
      <c r="B45" s="51" t="s">
        <v>54</v>
      </c>
      <c r="C45" s="51"/>
      <c r="D45" s="27"/>
      <c r="E45" s="27"/>
      <c r="F45" s="28"/>
      <c r="G45" s="45">
        <v>0.2</v>
      </c>
      <c r="H45" s="28">
        <f t="shared" ref="H45:H52" si="0">SUM($H$37*G45)</f>
        <v>197.76</v>
      </c>
    </row>
    <row r="46" spans="1:10" ht="15.75" x14ac:dyDescent="0.25">
      <c r="A46" s="1" t="s">
        <v>7</v>
      </c>
      <c r="B46" s="51" t="s">
        <v>55</v>
      </c>
      <c r="C46" s="51"/>
      <c r="D46" s="282" t="s">
        <v>56</v>
      </c>
      <c r="E46" s="282"/>
      <c r="F46" s="28"/>
      <c r="G46" s="52">
        <v>1.4999999999999999E-2</v>
      </c>
      <c r="H46" s="28">
        <f t="shared" si="0"/>
        <v>14.831999999999999</v>
      </c>
    </row>
    <row r="47" spans="1:10" ht="15.75" x14ac:dyDescent="0.25">
      <c r="A47" s="1" t="s">
        <v>9</v>
      </c>
      <c r="B47" s="51" t="s">
        <v>57</v>
      </c>
      <c r="C47" s="51"/>
      <c r="D47" s="282"/>
      <c r="E47" s="282"/>
      <c r="F47" s="28"/>
      <c r="G47" s="52">
        <v>0.01</v>
      </c>
      <c r="H47" s="28">
        <f t="shared" si="0"/>
        <v>9.8879999999999999</v>
      </c>
      <c r="I47" s="115"/>
    </row>
    <row r="48" spans="1:10" ht="15.75" x14ac:dyDescent="0.25">
      <c r="A48" s="1" t="s">
        <v>17</v>
      </c>
      <c r="B48" s="51" t="s">
        <v>58</v>
      </c>
      <c r="C48" s="51"/>
      <c r="D48" s="27"/>
      <c r="E48" s="27"/>
      <c r="F48" s="28"/>
      <c r="G48" s="52">
        <v>2E-3</v>
      </c>
      <c r="H48" s="28">
        <f t="shared" si="0"/>
        <v>1.9776</v>
      </c>
    </row>
    <row r="49" spans="1:8" ht="15.75" x14ac:dyDescent="0.25">
      <c r="A49" s="1" t="s">
        <v>40</v>
      </c>
      <c r="B49" s="51" t="s">
        <v>59</v>
      </c>
      <c r="C49" s="51"/>
      <c r="D49" s="27"/>
      <c r="E49" s="27"/>
      <c r="F49" s="28"/>
      <c r="G49" s="52">
        <v>2.5000000000000001E-2</v>
      </c>
      <c r="H49" s="28">
        <f t="shared" si="0"/>
        <v>24.72</v>
      </c>
    </row>
    <row r="50" spans="1:8" ht="15.75" x14ac:dyDescent="0.25">
      <c r="A50" s="1" t="s">
        <v>42</v>
      </c>
      <c r="B50" s="51" t="s">
        <v>60</v>
      </c>
      <c r="C50" s="51"/>
      <c r="D50" s="27"/>
      <c r="E50" s="27"/>
      <c r="F50" s="28"/>
      <c r="G50" s="45">
        <v>0.08</v>
      </c>
      <c r="H50" s="28">
        <f t="shared" si="0"/>
        <v>79.103999999999999</v>
      </c>
    </row>
    <row r="51" spans="1:8" ht="15.75" x14ac:dyDescent="0.25">
      <c r="A51" s="127" t="s">
        <v>61</v>
      </c>
      <c r="B51" s="128" t="s">
        <v>62</v>
      </c>
      <c r="C51" s="128"/>
      <c r="D51" s="129"/>
      <c r="E51" s="129"/>
      <c r="F51" s="129"/>
      <c r="G51" s="130">
        <v>0.03</v>
      </c>
      <c r="H51" s="131">
        <f t="shared" si="0"/>
        <v>29.663999999999998</v>
      </c>
    </row>
    <row r="52" spans="1:8" ht="15.75" x14ac:dyDescent="0.25">
      <c r="A52" s="1" t="s">
        <v>43</v>
      </c>
      <c r="B52" s="51" t="s">
        <v>63</v>
      </c>
      <c r="C52" s="51"/>
      <c r="D52" s="27"/>
      <c r="E52" s="27"/>
      <c r="F52" s="28"/>
      <c r="G52" s="52">
        <v>6.0000000000000001E-3</v>
      </c>
      <c r="H52" s="28">
        <f t="shared" si="0"/>
        <v>5.9327999999999994</v>
      </c>
    </row>
    <row r="53" spans="1:8" ht="15.75" x14ac:dyDescent="0.25">
      <c r="A53" s="54"/>
      <c r="B53" s="55" t="s">
        <v>45</v>
      </c>
      <c r="C53" s="55"/>
      <c r="D53" s="40"/>
      <c r="E53" s="40"/>
      <c r="F53" s="56"/>
      <c r="G53" s="57">
        <f>SUM(G45:G52)</f>
        <v>0.3680000000000001</v>
      </c>
      <c r="H53" s="58">
        <f>SUM(H45:H52)</f>
        <v>363.87839999999994</v>
      </c>
    </row>
    <row r="54" spans="1:8" ht="15.75" x14ac:dyDescent="0.25">
      <c r="A54" s="110" t="s">
        <v>64</v>
      </c>
      <c r="B54" s="273" t="s">
        <v>65</v>
      </c>
      <c r="C54" s="273"/>
      <c r="D54" s="273"/>
      <c r="E54" s="273"/>
      <c r="F54" s="273"/>
      <c r="G54" s="273"/>
      <c r="H54" s="273"/>
    </row>
    <row r="55" spans="1:8" ht="15.75" x14ac:dyDescent="0.25">
      <c r="A55" s="6" t="s">
        <v>66</v>
      </c>
      <c r="B55" s="59"/>
      <c r="C55" s="59"/>
      <c r="D55" s="60" t="s">
        <v>67</v>
      </c>
      <c r="E55" s="60" t="s">
        <v>68</v>
      </c>
      <c r="F55" s="60" t="s">
        <v>69</v>
      </c>
      <c r="G55" s="60" t="s">
        <v>70</v>
      </c>
      <c r="H55" s="6"/>
    </row>
    <row r="56" spans="1:8" ht="15.75" x14ac:dyDescent="0.25">
      <c r="A56" s="274" t="s">
        <v>4</v>
      </c>
      <c r="B56" s="6" t="s">
        <v>71</v>
      </c>
      <c r="C56" s="6"/>
      <c r="D56" s="275"/>
      <c r="E56" s="276"/>
      <c r="F56" s="277"/>
      <c r="G56" s="278"/>
      <c r="H56" s="35">
        <f>F56*E56*D56</f>
        <v>0</v>
      </c>
    </row>
    <row r="57" spans="1:8" ht="15.75" x14ac:dyDescent="0.25">
      <c r="A57" s="274"/>
      <c r="B57" s="6" t="s">
        <v>72</v>
      </c>
      <c r="C57" s="6"/>
      <c r="D57" s="275"/>
      <c r="E57" s="275"/>
      <c r="F57" s="275"/>
      <c r="G57" s="275"/>
      <c r="H57" s="35">
        <f>H27*G56</f>
        <v>0</v>
      </c>
    </row>
    <row r="58" spans="1:8" ht="15.75" x14ac:dyDescent="0.25">
      <c r="A58" s="274"/>
      <c r="B58" s="8" t="s">
        <v>73</v>
      </c>
      <c r="C58" s="8"/>
      <c r="D58" s="8"/>
      <c r="E58" s="27"/>
      <c r="F58" s="27"/>
      <c r="G58" s="61"/>
      <c r="H58" s="35">
        <f>H56-H57</f>
        <v>0</v>
      </c>
    </row>
    <row r="59" spans="1:8" ht="15.75" x14ac:dyDescent="0.25">
      <c r="A59" s="274" t="s">
        <v>7</v>
      </c>
      <c r="B59" s="6" t="s">
        <v>74</v>
      </c>
      <c r="C59" s="6"/>
      <c r="D59" s="275">
        <v>1</v>
      </c>
      <c r="E59" s="276">
        <v>1</v>
      </c>
      <c r="F59" s="277">
        <v>145.22999999999999</v>
      </c>
      <c r="G59" s="278">
        <v>0.2</v>
      </c>
      <c r="H59" s="35">
        <f>F59*E59*D59</f>
        <v>145.22999999999999</v>
      </c>
    </row>
    <row r="60" spans="1:8" ht="15.75" x14ac:dyDescent="0.25">
      <c r="A60" s="274"/>
      <c r="B60" s="6" t="s">
        <v>72</v>
      </c>
      <c r="C60" s="6"/>
      <c r="D60" s="275"/>
      <c r="E60" s="275"/>
      <c r="F60" s="275"/>
      <c r="G60" s="275"/>
      <c r="H60" s="35">
        <f>H59*G59</f>
        <v>29.045999999999999</v>
      </c>
    </row>
    <row r="61" spans="1:8" ht="15.75" x14ac:dyDescent="0.25">
      <c r="A61" s="274"/>
      <c r="B61" s="279" t="s">
        <v>75</v>
      </c>
      <c r="C61" s="279"/>
      <c r="D61" s="279"/>
      <c r="E61" s="279"/>
      <c r="F61" s="13"/>
      <c r="G61" s="13"/>
      <c r="H61" s="35">
        <f>H59-H60</f>
        <v>116.184</v>
      </c>
    </row>
    <row r="62" spans="1:8" ht="15.75" x14ac:dyDescent="0.25">
      <c r="A62" s="62" t="s">
        <v>9</v>
      </c>
      <c r="B62" s="279" t="s">
        <v>76</v>
      </c>
      <c r="C62" s="279"/>
      <c r="D62" s="279"/>
      <c r="E62" s="279"/>
      <c r="F62" s="13"/>
      <c r="G62" s="13"/>
      <c r="H62" s="35">
        <v>0</v>
      </c>
    </row>
    <row r="63" spans="1:8" ht="15.75" x14ac:dyDescent="0.25">
      <c r="A63" s="62" t="s">
        <v>17</v>
      </c>
      <c r="B63" s="117" t="s">
        <v>177</v>
      </c>
      <c r="C63" s="117"/>
      <c r="D63" s="117"/>
      <c r="E63" s="117" t="s">
        <v>163</v>
      </c>
      <c r="F63" s="13"/>
      <c r="G63" s="13"/>
      <c r="H63" s="35">
        <v>100</v>
      </c>
    </row>
    <row r="64" spans="1:8" ht="15.75" x14ac:dyDescent="0.25">
      <c r="A64" s="62" t="s">
        <v>40</v>
      </c>
      <c r="B64" s="116" t="s">
        <v>223</v>
      </c>
      <c r="C64" s="117"/>
      <c r="D64" s="117"/>
      <c r="E64" s="117"/>
      <c r="F64" s="13"/>
      <c r="G64" s="13"/>
      <c r="H64" s="35">
        <v>3.53</v>
      </c>
    </row>
    <row r="65" spans="1:13" ht="15.75" x14ac:dyDescent="0.25">
      <c r="A65" s="62" t="s">
        <v>42</v>
      </c>
      <c r="B65" s="116" t="s">
        <v>78</v>
      </c>
      <c r="C65" s="116"/>
      <c r="D65" s="116"/>
      <c r="E65" s="118">
        <v>0</v>
      </c>
      <c r="H65" s="119">
        <f>(1/12*H27)*E65</f>
        <v>0</v>
      </c>
      <c r="J65" s="125"/>
      <c r="K65" s="13"/>
      <c r="L65" s="13"/>
      <c r="M65" s="35"/>
    </row>
    <row r="66" spans="1:13" ht="15.75" x14ac:dyDescent="0.25">
      <c r="A66" s="63"/>
      <c r="B66" s="280" t="s">
        <v>45</v>
      </c>
      <c r="C66" s="280"/>
      <c r="D66" s="280"/>
      <c r="E66" s="280"/>
      <c r="F66" s="64"/>
      <c r="G66" s="64"/>
      <c r="H66" s="65">
        <f>H58+H61+H62+H63+H65+H64</f>
        <v>219.714</v>
      </c>
    </row>
    <row r="67" spans="1:13" ht="15.75" x14ac:dyDescent="0.25">
      <c r="A67" s="273" t="s">
        <v>79</v>
      </c>
      <c r="B67" s="273"/>
      <c r="C67" s="273"/>
      <c r="D67" s="273"/>
      <c r="E67" s="273"/>
      <c r="F67" s="273"/>
      <c r="G67" s="273"/>
      <c r="H67" s="273"/>
    </row>
    <row r="68" spans="1:13" ht="15.75" x14ac:dyDescent="0.25">
      <c r="A68" s="62" t="s">
        <v>47</v>
      </c>
      <c r="B68" s="8" t="s">
        <v>80</v>
      </c>
      <c r="C68" s="8"/>
      <c r="D68" s="66"/>
      <c r="E68" s="66"/>
      <c r="F68" s="13"/>
      <c r="G68" s="13"/>
      <c r="H68" s="67">
        <f>H43</f>
        <v>276.35219711999997</v>
      </c>
    </row>
    <row r="69" spans="1:13" ht="15.75" x14ac:dyDescent="0.25">
      <c r="A69" s="62" t="s">
        <v>52</v>
      </c>
      <c r="B69" s="8" t="s">
        <v>81</v>
      </c>
      <c r="C69" s="8"/>
      <c r="D69" s="66"/>
      <c r="E69" s="66"/>
      <c r="F69" s="13"/>
      <c r="G69" s="13"/>
      <c r="H69" s="67">
        <f>H53</f>
        <v>363.87839999999994</v>
      </c>
    </row>
    <row r="70" spans="1:13" ht="15.75" x14ac:dyDescent="0.25">
      <c r="A70" s="62" t="s">
        <v>64</v>
      </c>
      <c r="B70" s="8" t="s">
        <v>82</v>
      </c>
      <c r="C70" s="8"/>
      <c r="D70" s="66"/>
      <c r="E70" s="66"/>
      <c r="F70" s="13"/>
      <c r="G70" s="13"/>
      <c r="H70" s="67">
        <f>H66</f>
        <v>219.714</v>
      </c>
    </row>
    <row r="71" spans="1:13" ht="15.75" x14ac:dyDescent="0.25">
      <c r="A71" s="63"/>
      <c r="B71" s="126" t="s">
        <v>45</v>
      </c>
      <c r="C71" s="126"/>
      <c r="D71" s="126"/>
      <c r="E71" s="126"/>
      <c r="F71" s="64"/>
      <c r="G71" s="64"/>
      <c r="H71" s="65">
        <f>SUM(H68:H70)</f>
        <v>859.9445971199998</v>
      </c>
    </row>
    <row r="72" spans="1:13" ht="15.75" x14ac:dyDescent="0.25">
      <c r="A72" s="68">
        <v>3</v>
      </c>
      <c r="B72" s="271" t="s">
        <v>83</v>
      </c>
      <c r="C72" s="271"/>
      <c r="D72" s="271"/>
      <c r="E72" s="271"/>
      <c r="F72" s="271"/>
      <c r="G72" s="271"/>
      <c r="H72" s="271"/>
    </row>
    <row r="73" spans="1:13" ht="15.75" x14ac:dyDescent="0.25">
      <c r="A73" s="1" t="s">
        <v>4</v>
      </c>
      <c r="B73" s="48" t="s">
        <v>84</v>
      </c>
      <c r="C73" s="48"/>
      <c r="D73" s="69"/>
      <c r="E73" s="69"/>
      <c r="F73" s="69"/>
      <c r="G73" s="45">
        <v>4.1999999999999997E-3</v>
      </c>
      <c r="H73" s="28">
        <f>SUM($H$37*G73)</f>
        <v>4.1529599999999993</v>
      </c>
    </row>
    <row r="74" spans="1:13" ht="15.75" x14ac:dyDescent="0.25">
      <c r="A74" s="1" t="s">
        <v>7</v>
      </c>
      <c r="B74" s="48" t="s">
        <v>85</v>
      </c>
      <c r="C74" s="48"/>
      <c r="D74" s="27"/>
      <c r="E74" s="27"/>
      <c r="F74" s="28"/>
      <c r="G74" s="45">
        <f>G73*0.08</f>
        <v>3.3599999999999998E-4</v>
      </c>
      <c r="H74" s="28">
        <f>SUM($H$37*G74)</f>
        <v>0.33223679999999994</v>
      </c>
      <c r="I74" s="115"/>
    </row>
    <row r="75" spans="1:13" ht="15.75" x14ac:dyDescent="0.25">
      <c r="A75" s="1" t="s">
        <v>9</v>
      </c>
      <c r="B75" s="48" t="s">
        <v>86</v>
      </c>
      <c r="C75" s="48"/>
      <c r="D75" s="70"/>
      <c r="E75" s="70"/>
      <c r="F75" s="70"/>
      <c r="G75" s="71">
        <v>2.0000000000000001E-4</v>
      </c>
      <c r="H75" s="72">
        <f>(ROUND(SUM($H$37*G75),2))</f>
        <v>0.2</v>
      </c>
      <c r="J75" s="122"/>
    </row>
    <row r="76" spans="1:13" ht="15.75" x14ac:dyDescent="0.25">
      <c r="A76" s="1" t="s">
        <v>17</v>
      </c>
      <c r="B76" s="27" t="s">
        <v>87</v>
      </c>
      <c r="C76" s="27"/>
      <c r="D76" s="69"/>
      <c r="E76" s="69"/>
      <c r="F76" s="69"/>
      <c r="G76" s="45">
        <v>1.9400000000000001E-2</v>
      </c>
      <c r="H76" s="28">
        <f>SUM($H$37*G76)</f>
        <v>19.18272</v>
      </c>
    </row>
    <row r="77" spans="1:13" ht="15.75" x14ac:dyDescent="0.25">
      <c r="A77" s="1" t="s">
        <v>40</v>
      </c>
      <c r="B77" s="48" t="s">
        <v>225</v>
      </c>
      <c r="C77" s="48"/>
      <c r="D77" s="27"/>
      <c r="E77" s="27"/>
      <c r="F77" s="28"/>
      <c r="G77" s="45">
        <f>G76*G53</f>
        <v>7.1392000000000027E-3</v>
      </c>
      <c r="H77" s="28">
        <f>SUM($H$37*G77)</f>
        <v>7.0592409600000021</v>
      </c>
    </row>
    <row r="78" spans="1:13" ht="15.75" x14ac:dyDescent="0.25">
      <c r="A78" s="1" t="s">
        <v>42</v>
      </c>
      <c r="B78" s="27" t="s">
        <v>89</v>
      </c>
      <c r="C78" s="27"/>
      <c r="D78" s="70"/>
      <c r="E78" s="70"/>
      <c r="F78" s="70"/>
      <c r="G78" s="52">
        <v>1E-4</v>
      </c>
      <c r="H78" s="28">
        <f>SUM($H$37*G78)</f>
        <v>9.8879999999999996E-2</v>
      </c>
    </row>
    <row r="79" spans="1:13" ht="15.75" x14ac:dyDescent="0.25">
      <c r="A79" s="73"/>
      <c r="B79" s="55" t="s">
        <v>45</v>
      </c>
      <c r="C79" s="55"/>
      <c r="D79" s="41"/>
      <c r="E79" s="41"/>
      <c r="F79" s="74"/>
      <c r="G79" s="57">
        <f>SUM(G73:G78)</f>
        <v>3.1375200000000006E-2</v>
      </c>
      <c r="H79" s="58">
        <f>SUM(H73:H78)</f>
        <v>31.026037760000001</v>
      </c>
    </row>
    <row r="80" spans="1:13" ht="15.75" x14ac:dyDescent="0.25">
      <c r="A80" s="44">
        <v>4</v>
      </c>
      <c r="B80" s="281" t="s">
        <v>90</v>
      </c>
      <c r="C80" s="281"/>
      <c r="D80" s="281"/>
      <c r="E80" s="281"/>
      <c r="F80" s="281"/>
      <c r="G80" s="281"/>
      <c r="H80" s="281"/>
    </row>
    <row r="81" spans="1:10" ht="15.75" x14ac:dyDescent="0.25">
      <c r="A81" s="75" t="s">
        <v>91</v>
      </c>
      <c r="B81" s="273" t="s">
        <v>236</v>
      </c>
      <c r="C81" s="273"/>
      <c r="D81" s="273"/>
      <c r="E81" s="273"/>
      <c r="F81" s="273"/>
      <c r="G81" s="273"/>
      <c r="H81" s="273"/>
    </row>
    <row r="82" spans="1:10" ht="15.75" x14ac:dyDescent="0.25">
      <c r="A82" s="12" t="s">
        <v>4</v>
      </c>
      <c r="B82" s="51" t="s">
        <v>226</v>
      </c>
      <c r="C82" s="51"/>
      <c r="D82" s="53"/>
      <c r="E82" s="53"/>
      <c r="F82" s="53"/>
      <c r="G82" s="45">
        <f>(G40+G41)/12</f>
        <v>1.7024999999999998E-2</v>
      </c>
      <c r="H82" s="28"/>
    </row>
    <row r="83" spans="1:10" ht="15.75" x14ac:dyDescent="0.25">
      <c r="A83" s="123" t="s">
        <v>7</v>
      </c>
      <c r="B83" s="51" t="s">
        <v>227</v>
      </c>
      <c r="C83" s="272" t="s">
        <v>95</v>
      </c>
      <c r="D83" s="76">
        <v>1</v>
      </c>
      <c r="E83" s="272" t="s">
        <v>96</v>
      </c>
      <c r="F83" s="77">
        <v>1</v>
      </c>
      <c r="G83" s="45">
        <f t="shared" ref="G83:G88" si="1">D83/360*F83</f>
        <v>2.7777777777777779E-3</v>
      </c>
      <c r="H83" s="28">
        <f>SUM(H$37*G83)</f>
        <v>2.7466666666666666</v>
      </c>
    </row>
    <row r="84" spans="1:10" ht="15.75" x14ac:dyDescent="0.25">
      <c r="A84" s="12" t="s">
        <v>9</v>
      </c>
      <c r="B84" s="51" t="s">
        <v>228</v>
      </c>
      <c r="C84" s="272"/>
      <c r="D84" s="76">
        <v>20</v>
      </c>
      <c r="E84" s="272"/>
      <c r="F84" s="77">
        <v>1.4999999999999999E-2</v>
      </c>
      <c r="G84" s="45">
        <f t="shared" si="1"/>
        <v>8.3333333333333328E-4</v>
      </c>
      <c r="H84" s="28">
        <f>SUM(H$37*G84)</f>
        <v>0.82399999999999995</v>
      </c>
    </row>
    <row r="85" spans="1:10" ht="15.75" x14ac:dyDescent="0.25">
      <c r="A85" s="12" t="s">
        <v>17</v>
      </c>
      <c r="B85" s="51" t="s">
        <v>229</v>
      </c>
      <c r="C85" s="272"/>
      <c r="D85" s="76">
        <v>15</v>
      </c>
      <c r="E85" s="272"/>
      <c r="F85" s="78">
        <v>1.3299999999999999E-2</v>
      </c>
      <c r="G85" s="45">
        <f t="shared" si="1"/>
        <v>5.5416666666666657E-4</v>
      </c>
      <c r="H85" s="28">
        <f>SUM(H$37*G85)</f>
        <v>0.54795999999999989</v>
      </c>
    </row>
    <row r="86" spans="1:10" ht="15.75" x14ac:dyDescent="0.25">
      <c r="A86" s="12" t="s">
        <v>40</v>
      </c>
      <c r="B86" s="51" t="s">
        <v>230</v>
      </c>
      <c r="C86" s="272"/>
      <c r="D86" s="76">
        <v>180</v>
      </c>
      <c r="E86" s="272"/>
      <c r="F86" s="77">
        <v>1.8599999999999998E-2</v>
      </c>
      <c r="G86" s="45">
        <f t="shared" si="1"/>
        <v>9.2999999999999992E-3</v>
      </c>
      <c r="H86" s="28">
        <f>SUM(H$37*G86)</f>
        <v>9.1958399999999987</v>
      </c>
    </row>
    <row r="87" spans="1:10" ht="15.75" x14ac:dyDescent="0.25">
      <c r="A87" s="12" t="s">
        <v>42</v>
      </c>
      <c r="B87" s="51" t="s">
        <v>231</v>
      </c>
      <c r="C87" s="272"/>
      <c r="D87" s="79">
        <v>5</v>
      </c>
      <c r="E87" s="272"/>
      <c r="F87" s="80">
        <v>1</v>
      </c>
      <c r="G87" s="45">
        <f t="shared" si="1"/>
        <v>1.3888888888888888E-2</v>
      </c>
      <c r="H87" s="81">
        <f>SUM(H$37*G87)</f>
        <v>13.733333333333333</v>
      </c>
    </row>
    <row r="88" spans="1:10" ht="15.75" x14ac:dyDescent="0.25">
      <c r="A88" s="12" t="s">
        <v>61</v>
      </c>
      <c r="B88" s="51" t="s">
        <v>101</v>
      </c>
      <c r="C88" s="272"/>
      <c r="D88" s="79"/>
      <c r="E88" s="272"/>
      <c r="F88" s="82"/>
      <c r="G88" s="45">
        <f t="shared" si="1"/>
        <v>0</v>
      </c>
      <c r="H88" s="81"/>
    </row>
    <row r="89" spans="1:10" ht="15.75" x14ac:dyDescent="0.25">
      <c r="A89" s="19"/>
      <c r="B89" s="6" t="s">
        <v>102</v>
      </c>
      <c r="C89" s="6"/>
      <c r="D89" s="27"/>
      <c r="E89" s="27"/>
      <c r="F89" s="28"/>
      <c r="G89" s="45">
        <f>SUM(G82:G88)</f>
        <v>4.4379166666666664E-2</v>
      </c>
      <c r="H89" s="28">
        <f>SUM(H82:H88)</f>
        <v>27.047799999999995</v>
      </c>
      <c r="I89" s="121"/>
    </row>
    <row r="90" spans="1:10" ht="15.75" x14ac:dyDescent="0.25">
      <c r="A90" s="12" t="s">
        <v>42</v>
      </c>
      <c r="B90" s="51" t="s">
        <v>103</v>
      </c>
      <c r="C90" s="51"/>
      <c r="D90" s="27"/>
      <c r="E90" s="27"/>
      <c r="F90" s="28"/>
      <c r="G90" s="45">
        <f>G89*G53</f>
        <v>1.6331533333333335E-2</v>
      </c>
      <c r="H90" s="28">
        <f>G53*H89</f>
        <v>9.9535904000000013</v>
      </c>
      <c r="I90" s="115"/>
      <c r="J90" s="122"/>
    </row>
    <row r="91" spans="1:10" ht="15.75" x14ac:dyDescent="0.25">
      <c r="A91" s="73"/>
      <c r="B91" s="55" t="s">
        <v>45</v>
      </c>
      <c r="C91" s="55"/>
      <c r="D91" s="41"/>
      <c r="E91" s="41"/>
      <c r="F91" s="74"/>
      <c r="G91" s="57">
        <f>G90+G89</f>
        <v>6.0710699999999999E-2</v>
      </c>
      <c r="H91" s="58">
        <f>SUM(H89:H90)</f>
        <v>37.001390399999998</v>
      </c>
    </row>
    <row r="92" spans="1:10" ht="15.75" x14ac:dyDescent="0.25">
      <c r="A92" s="75" t="s">
        <v>104</v>
      </c>
      <c r="B92" s="273" t="s">
        <v>232</v>
      </c>
      <c r="C92" s="273"/>
      <c r="D92" s="273"/>
      <c r="E92" s="273"/>
      <c r="F92" s="273"/>
      <c r="G92" s="273"/>
      <c r="H92" s="273"/>
    </row>
    <row r="93" spans="1:10" ht="15.75" x14ac:dyDescent="0.25">
      <c r="A93" s="12" t="s">
        <v>4</v>
      </c>
      <c r="B93" s="51" t="s">
        <v>234</v>
      </c>
      <c r="C93" s="51"/>
      <c r="D93" s="53"/>
      <c r="E93" s="53"/>
      <c r="F93" s="53"/>
      <c r="G93" s="52">
        <v>0</v>
      </c>
      <c r="H93" s="28">
        <f>SUM(H$37*G93)</f>
        <v>0</v>
      </c>
    </row>
    <row r="94" spans="1:10" ht="15.75" x14ac:dyDescent="0.25">
      <c r="A94" s="12" t="s">
        <v>7</v>
      </c>
      <c r="B94" s="51" t="s">
        <v>107</v>
      </c>
      <c r="C94" s="51"/>
      <c r="D94" s="53"/>
      <c r="E94" s="53"/>
      <c r="F94" s="53"/>
      <c r="G94" s="45">
        <f>G93*G53</f>
        <v>0</v>
      </c>
      <c r="H94" s="28">
        <f>SUM($H$37*G94)</f>
        <v>0</v>
      </c>
    </row>
    <row r="95" spans="1:10" ht="15.75" x14ac:dyDescent="0.25">
      <c r="A95" s="73"/>
      <c r="B95" s="55" t="s">
        <v>45</v>
      </c>
      <c r="C95" s="55"/>
      <c r="D95" s="41"/>
      <c r="E95" s="41"/>
      <c r="F95" s="74"/>
      <c r="G95" s="57">
        <f>G94+G93</f>
        <v>0</v>
      </c>
      <c r="H95" s="58">
        <f>SUM(H93:H94)</f>
        <v>0</v>
      </c>
    </row>
    <row r="96" spans="1:10" ht="15.75" x14ac:dyDescent="0.25">
      <c r="A96" s="273" t="s">
        <v>108</v>
      </c>
      <c r="B96" s="273"/>
      <c r="C96" s="273"/>
      <c r="D96" s="273"/>
      <c r="E96" s="273"/>
      <c r="F96" s="273"/>
      <c r="G96" s="273"/>
      <c r="H96" s="273"/>
    </row>
    <row r="97" spans="1:10" ht="15.75" x14ac:dyDescent="0.25">
      <c r="A97" s="12" t="s">
        <v>91</v>
      </c>
      <c r="B97" s="51" t="s">
        <v>235</v>
      </c>
      <c r="C97" s="51"/>
      <c r="D97" s="53"/>
      <c r="E97" s="53"/>
      <c r="F97" s="53"/>
      <c r="G97" s="45">
        <f>G91</f>
        <v>6.0710699999999999E-2</v>
      </c>
      <c r="H97" s="28">
        <f>H91</f>
        <v>37.001390399999998</v>
      </c>
    </row>
    <row r="98" spans="1:10" ht="15.75" x14ac:dyDescent="0.25">
      <c r="A98" s="12" t="s">
        <v>104</v>
      </c>
      <c r="B98" s="51" t="s">
        <v>233</v>
      </c>
      <c r="C98" s="51"/>
      <c r="D98" s="53"/>
      <c r="E98" s="53"/>
      <c r="F98" s="53"/>
      <c r="G98" s="45">
        <f>G95</f>
        <v>0</v>
      </c>
      <c r="H98" s="28">
        <f>H95</f>
        <v>0</v>
      </c>
    </row>
    <row r="99" spans="1:10" ht="15.75" x14ac:dyDescent="0.25">
      <c r="A99" s="73"/>
      <c r="B99" s="55" t="s">
        <v>45</v>
      </c>
      <c r="C99" s="55"/>
      <c r="D99" s="41"/>
      <c r="E99" s="41"/>
      <c r="F99" s="74"/>
      <c r="G99" s="57">
        <f>G95+G91</f>
        <v>6.0710699999999999E-2</v>
      </c>
      <c r="H99" s="58">
        <f>SUM(H97:H98)</f>
        <v>37.001390399999998</v>
      </c>
    </row>
    <row r="100" spans="1:10" ht="15.75" x14ac:dyDescent="0.25">
      <c r="A100" s="83">
        <v>5</v>
      </c>
      <c r="B100" s="273" t="s">
        <v>110</v>
      </c>
      <c r="C100" s="273"/>
      <c r="D100" s="273"/>
      <c r="E100" s="273"/>
      <c r="F100" s="273"/>
      <c r="G100" s="273"/>
      <c r="H100" s="273"/>
    </row>
    <row r="101" spans="1:10" ht="15.75" x14ac:dyDescent="0.25">
      <c r="A101" s="12" t="s">
        <v>4</v>
      </c>
      <c r="B101" s="13" t="s">
        <v>111</v>
      </c>
      <c r="C101" s="13"/>
      <c r="D101" s="84"/>
      <c r="E101" s="27"/>
      <c r="F101" s="85"/>
      <c r="G101" s="85"/>
      <c r="H101" s="85">
        <v>23.84</v>
      </c>
    </row>
    <row r="102" spans="1:10" ht="15.75" x14ac:dyDescent="0.25">
      <c r="A102" s="12" t="s">
        <v>7</v>
      </c>
      <c r="B102" s="13" t="s">
        <v>112</v>
      </c>
      <c r="C102" s="13"/>
      <c r="D102" s="84"/>
      <c r="E102" s="27"/>
      <c r="F102" s="85"/>
      <c r="G102" s="85"/>
      <c r="H102" s="85"/>
    </row>
    <row r="103" spans="1:10" ht="15.75" x14ac:dyDescent="0.25">
      <c r="A103" s="12" t="s">
        <v>9</v>
      </c>
      <c r="B103" s="13" t="s">
        <v>113</v>
      </c>
      <c r="C103" s="13"/>
      <c r="D103" s="84"/>
      <c r="E103" s="27"/>
      <c r="F103" s="85"/>
      <c r="G103" s="85"/>
      <c r="H103" s="85">
        <v>5.21</v>
      </c>
    </row>
    <row r="104" spans="1:10" ht="15.75" x14ac:dyDescent="0.25">
      <c r="A104" s="12" t="s">
        <v>17</v>
      </c>
      <c r="B104" s="13" t="s">
        <v>164</v>
      </c>
      <c r="C104" s="13"/>
      <c r="D104" s="84"/>
      <c r="E104" s="27"/>
      <c r="F104" s="85"/>
      <c r="G104" s="85"/>
      <c r="H104" s="85">
        <v>16.37</v>
      </c>
    </row>
    <row r="105" spans="1:10" ht="15.75" x14ac:dyDescent="0.25">
      <c r="A105" s="12" t="s">
        <v>40</v>
      </c>
      <c r="B105" s="13" t="s">
        <v>101</v>
      </c>
      <c r="C105" s="13"/>
      <c r="D105" s="84"/>
      <c r="E105" s="27"/>
      <c r="F105" s="85"/>
      <c r="G105" s="85"/>
      <c r="H105" s="85">
        <v>0</v>
      </c>
    </row>
    <row r="106" spans="1:10" ht="15.75" x14ac:dyDescent="0.25">
      <c r="A106" s="73"/>
      <c r="B106" s="55" t="s">
        <v>45</v>
      </c>
      <c r="C106" s="55"/>
      <c r="D106" s="41"/>
      <c r="E106" s="41"/>
      <c r="F106" s="74"/>
      <c r="G106" s="57"/>
      <c r="H106" s="58">
        <f>SUM(H101:H105)</f>
        <v>45.42</v>
      </c>
    </row>
    <row r="107" spans="1:10" ht="15.75" x14ac:dyDescent="0.25">
      <c r="A107" s="83">
        <v>6</v>
      </c>
      <c r="B107" s="273" t="s">
        <v>114</v>
      </c>
      <c r="C107" s="273"/>
      <c r="D107" s="273"/>
      <c r="E107" s="273"/>
      <c r="F107" s="273"/>
      <c r="G107" s="273"/>
      <c r="H107" s="273"/>
    </row>
    <row r="108" spans="1:10" ht="15.75" x14ac:dyDescent="0.25">
      <c r="A108" s="86" t="s">
        <v>4</v>
      </c>
      <c r="B108" s="27"/>
      <c r="C108" s="27"/>
      <c r="D108" s="27"/>
      <c r="E108" s="27"/>
      <c r="F108" s="27" t="s">
        <v>115</v>
      </c>
      <c r="G108" s="52">
        <v>0.01</v>
      </c>
      <c r="H108" s="28">
        <f>G108*H123</f>
        <v>19.621920252799999</v>
      </c>
    </row>
    <row r="109" spans="1:10" ht="15.75" x14ac:dyDescent="0.25">
      <c r="A109" s="86" t="s">
        <v>7</v>
      </c>
      <c r="B109" s="27"/>
      <c r="C109" s="27"/>
      <c r="D109" s="27"/>
      <c r="E109" s="27"/>
      <c r="F109" s="12" t="s">
        <v>116</v>
      </c>
      <c r="G109" s="52">
        <v>0.01</v>
      </c>
      <c r="H109" s="28">
        <f>(H108+H123)*$G$109</f>
        <v>19.818139455327998</v>
      </c>
    </row>
    <row r="110" spans="1:10" ht="15.75" x14ac:dyDescent="0.25">
      <c r="A110" s="86" t="s">
        <v>9</v>
      </c>
      <c r="B110" s="27"/>
      <c r="C110" s="27"/>
      <c r="D110" s="27"/>
      <c r="E110" s="27"/>
      <c r="F110" s="12" t="s">
        <v>117</v>
      </c>
      <c r="G110" s="87">
        <f>SUM(G111:G115)</f>
        <v>8.6499999999999994E-2</v>
      </c>
      <c r="H110" s="28">
        <f>H112+H113+H115</f>
        <v>189.53604307769353</v>
      </c>
    </row>
    <row r="111" spans="1:10" ht="15.75" x14ac:dyDescent="0.25">
      <c r="A111" s="86" t="s">
        <v>118</v>
      </c>
      <c r="B111" s="27"/>
      <c r="C111" s="27"/>
      <c r="D111" s="27"/>
      <c r="E111" s="27"/>
      <c r="F111" s="88" t="s">
        <v>119</v>
      </c>
      <c r="G111" s="45">
        <v>0</v>
      </c>
      <c r="H111" s="28"/>
    </row>
    <row r="112" spans="1:10" ht="15.75" x14ac:dyDescent="0.25">
      <c r="A112" s="86" t="s">
        <v>120</v>
      </c>
      <c r="B112" s="27"/>
      <c r="C112" s="27"/>
      <c r="D112" s="27"/>
      <c r="E112" s="27"/>
      <c r="F112" s="88" t="s">
        <v>121</v>
      </c>
      <c r="G112" s="52">
        <v>6.4999999999999997E-3</v>
      </c>
      <c r="H112" s="28">
        <f>((H108+H109+H123)/0.9135)*G112</f>
        <v>14.242592832427837</v>
      </c>
      <c r="J112" s="120"/>
    </row>
    <row r="113" spans="1:10" ht="15.75" x14ac:dyDescent="0.25">
      <c r="A113" s="86" t="s">
        <v>122</v>
      </c>
      <c r="B113" s="27"/>
      <c r="C113" s="27"/>
      <c r="D113" s="27"/>
      <c r="E113" s="27"/>
      <c r="F113" s="88" t="s">
        <v>123</v>
      </c>
      <c r="G113" s="52">
        <v>0.03</v>
      </c>
      <c r="H113" s="28">
        <f>((H108+H109+H123)/0.9135)*G113</f>
        <v>65.73504384197463</v>
      </c>
    </row>
    <row r="114" spans="1:10" ht="15.75" x14ac:dyDescent="0.25">
      <c r="A114" s="86" t="s">
        <v>124</v>
      </c>
      <c r="B114" s="27"/>
      <c r="C114" s="27"/>
      <c r="D114" s="27"/>
      <c r="E114" s="27"/>
      <c r="F114" s="88" t="s">
        <v>125</v>
      </c>
      <c r="G114" s="45">
        <v>0</v>
      </c>
      <c r="H114" s="28"/>
    </row>
    <row r="115" spans="1:10" ht="15.75" x14ac:dyDescent="0.25">
      <c r="A115" s="86" t="s">
        <v>126</v>
      </c>
      <c r="B115" s="27"/>
      <c r="C115" s="27"/>
      <c r="D115" s="27"/>
      <c r="E115" s="27"/>
      <c r="F115" s="88" t="s">
        <v>127</v>
      </c>
      <c r="G115" s="45">
        <v>0.05</v>
      </c>
      <c r="H115" s="28">
        <f>((H108+H109+H123)/0.9135)*G115</f>
        <v>109.55840640329107</v>
      </c>
    </row>
    <row r="116" spans="1:10" ht="15.75" x14ac:dyDescent="0.25">
      <c r="A116" s="73"/>
      <c r="B116" s="55" t="s">
        <v>45</v>
      </c>
      <c r="C116" s="55"/>
      <c r="D116" s="41"/>
      <c r="E116" s="41"/>
      <c r="F116" s="74"/>
      <c r="G116" s="57">
        <f>G110+G109+G108</f>
        <v>0.10649999999999998</v>
      </c>
      <c r="H116" s="58">
        <f>H108+H109+H110</f>
        <v>228.97610278582152</v>
      </c>
    </row>
    <row r="117" spans="1:10" ht="15.75" x14ac:dyDescent="0.25">
      <c r="A117" s="89"/>
      <c r="B117" s="271" t="s">
        <v>128</v>
      </c>
      <c r="C117" s="271"/>
      <c r="D117" s="271"/>
      <c r="E117" s="271"/>
      <c r="F117" s="271"/>
      <c r="G117" s="271"/>
      <c r="H117" s="271"/>
    </row>
    <row r="118" spans="1:10" ht="15.75" x14ac:dyDescent="0.25">
      <c r="A118" s="90" t="s">
        <v>4</v>
      </c>
      <c r="B118" s="27" t="s">
        <v>30</v>
      </c>
      <c r="C118" s="27"/>
      <c r="D118" s="27"/>
      <c r="E118" s="27"/>
      <c r="F118" s="28"/>
      <c r="G118" s="45">
        <f>SUM(H118/H$125)</f>
        <v>0.45126614764738721</v>
      </c>
      <c r="H118" s="28">
        <f>H37</f>
        <v>988.8</v>
      </c>
    </row>
    <row r="119" spans="1:10" ht="15.75" x14ac:dyDescent="0.25">
      <c r="A119" s="90" t="s">
        <v>7</v>
      </c>
      <c r="B119" s="27" t="s">
        <v>129</v>
      </c>
      <c r="C119" s="27"/>
      <c r="D119" s="27"/>
      <c r="E119" s="27"/>
      <c r="F119" s="28"/>
      <c r="G119" s="45">
        <f>SUM(H119/H$125)</f>
        <v>0.39245943116153598</v>
      </c>
      <c r="H119" s="28">
        <f>H71</f>
        <v>859.9445971199998</v>
      </c>
    </row>
    <row r="120" spans="1:10" ht="15.75" x14ac:dyDescent="0.25">
      <c r="A120" s="90" t="s">
        <v>9</v>
      </c>
      <c r="B120" s="27" t="s">
        <v>130</v>
      </c>
      <c r="C120" s="27"/>
      <c r="D120" s="27"/>
      <c r="E120" s="27"/>
      <c r="F120" s="28"/>
      <c r="G120" s="45">
        <f>SUM(H120/H$125)</f>
        <v>1.4159587921437674E-2</v>
      </c>
      <c r="H120" s="28">
        <f>H79</f>
        <v>31.026037760000001</v>
      </c>
    </row>
    <row r="121" spans="1:10" ht="15.75" x14ac:dyDescent="0.25">
      <c r="A121" s="90" t="s">
        <v>17</v>
      </c>
      <c r="B121" s="27" t="s">
        <v>131</v>
      </c>
      <c r="C121" s="27"/>
      <c r="D121" s="27"/>
      <c r="E121" s="27"/>
      <c r="F121" s="28"/>
      <c r="G121" s="45">
        <f>SUM(H121/H$125)</f>
        <v>1.6886604878039054E-2</v>
      </c>
      <c r="H121" s="28">
        <f>H99</f>
        <v>37.001390399999998</v>
      </c>
    </row>
    <row r="122" spans="1:10" ht="15.75" x14ac:dyDescent="0.25">
      <c r="A122" s="90" t="s">
        <v>40</v>
      </c>
      <c r="B122" s="27" t="s">
        <v>110</v>
      </c>
      <c r="C122" s="27"/>
      <c r="D122" s="27"/>
      <c r="E122" s="27"/>
      <c r="F122" s="28"/>
      <c r="G122" s="45">
        <f>H122/H125</f>
        <v>2.072866952482234E-2</v>
      </c>
      <c r="H122" s="28">
        <f>H106</f>
        <v>45.42</v>
      </c>
      <c r="J122" s="115">
        <f>H108+H109+H123</f>
        <v>2001.6320849881279</v>
      </c>
    </row>
    <row r="123" spans="1:10" ht="15.75" x14ac:dyDescent="0.25">
      <c r="A123" s="90"/>
      <c r="B123" s="27" t="s">
        <v>132</v>
      </c>
      <c r="C123" s="27"/>
      <c r="D123" s="27"/>
      <c r="E123" s="27"/>
      <c r="F123" s="28"/>
      <c r="G123" s="45">
        <f>SUM(G118:G122)</f>
        <v>0.89550044113322225</v>
      </c>
      <c r="H123" s="28">
        <f>SUM(H118:H122)</f>
        <v>1962.1920252799998</v>
      </c>
      <c r="J123" s="115">
        <f>J122/0.9135</f>
        <v>2191.1681280658213</v>
      </c>
    </row>
    <row r="124" spans="1:10" ht="15.75" x14ac:dyDescent="0.25">
      <c r="A124" s="90" t="s">
        <v>40</v>
      </c>
      <c r="B124" s="27" t="s">
        <v>133</v>
      </c>
      <c r="C124" s="27"/>
      <c r="D124" s="27"/>
      <c r="E124" s="27"/>
      <c r="F124" s="28"/>
      <c r="G124" s="45">
        <f>SUM(H124/H$125)</f>
        <v>0.10449955886677777</v>
      </c>
      <c r="H124" s="28">
        <f>H108+H109+H110</f>
        <v>228.97610278582152</v>
      </c>
    </row>
    <row r="125" spans="1:10" ht="15.75" x14ac:dyDescent="0.25">
      <c r="A125" s="55"/>
      <c r="B125" s="55" t="s">
        <v>134</v>
      </c>
      <c r="C125" s="55"/>
      <c r="D125" s="55"/>
      <c r="E125" s="55"/>
      <c r="F125" s="55"/>
      <c r="G125" s="55">
        <f>SUM(G123+G124)</f>
        <v>1</v>
      </c>
      <c r="H125" s="91">
        <f>H124+H123</f>
        <v>2191.1681280658213</v>
      </c>
    </row>
    <row r="126" spans="1:10" ht="15.75" x14ac:dyDescent="0.25">
      <c r="A126" s="92"/>
      <c r="B126" s="271" t="s">
        <v>135</v>
      </c>
      <c r="C126" s="271"/>
      <c r="D126" s="271"/>
      <c r="E126" s="271"/>
      <c r="F126" s="271"/>
      <c r="G126" s="271"/>
      <c r="H126" s="271"/>
    </row>
    <row r="127" spans="1:10" ht="47.25" x14ac:dyDescent="0.25">
      <c r="A127" s="27"/>
      <c r="B127" s="16" t="s">
        <v>20</v>
      </c>
      <c r="C127" s="16"/>
      <c r="D127" s="93" t="s">
        <v>136</v>
      </c>
      <c r="E127" s="93" t="s">
        <v>137</v>
      </c>
      <c r="F127" s="94" t="s">
        <v>138</v>
      </c>
      <c r="G127" s="93" t="s">
        <v>139</v>
      </c>
      <c r="H127" s="95" t="s">
        <v>140</v>
      </c>
    </row>
    <row r="128" spans="1:10"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2191.1681280658213</v>
      </c>
      <c r="E129" s="100">
        <v>11</v>
      </c>
      <c r="F129" s="99">
        <f>D129*E129</f>
        <v>24102.849408724032</v>
      </c>
      <c r="G129" s="101">
        <v>1</v>
      </c>
      <c r="H129" s="28">
        <f>E129*D129</f>
        <v>24102.849408724032</v>
      </c>
    </row>
    <row r="130" spans="1:8" ht="15.75" x14ac:dyDescent="0.25">
      <c r="A130" s="27"/>
      <c r="B130" s="102" t="s">
        <v>147</v>
      </c>
      <c r="C130" s="102"/>
      <c r="D130" s="103"/>
      <c r="E130" s="103"/>
      <c r="F130" s="103"/>
      <c r="G130" s="103"/>
      <c r="H130" s="104">
        <f>SUM(H129)</f>
        <v>24102.849408724032</v>
      </c>
    </row>
    <row r="131" spans="1:8" ht="15.75" x14ac:dyDescent="0.25">
      <c r="A131" s="27"/>
      <c r="B131" s="16"/>
      <c r="C131" s="16"/>
      <c r="D131" s="105"/>
      <c r="E131" s="16"/>
      <c r="F131" s="16"/>
      <c r="G131" s="16"/>
      <c r="H131" s="16"/>
    </row>
    <row r="132" spans="1:8" ht="15.75" x14ac:dyDescent="0.25">
      <c r="A132" s="83"/>
      <c r="B132" s="271" t="s">
        <v>148</v>
      </c>
      <c r="C132" s="271"/>
      <c r="D132" s="271"/>
      <c r="E132" s="271"/>
      <c r="F132" s="271"/>
      <c r="G132" s="271"/>
      <c r="H132" s="271"/>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2191.1681280658213</v>
      </c>
    </row>
    <row r="135" spans="1:8" ht="15.75" x14ac:dyDescent="0.25">
      <c r="A135" s="108" t="s">
        <v>7</v>
      </c>
      <c r="B135" s="109" t="s">
        <v>152</v>
      </c>
      <c r="C135" s="109"/>
      <c r="D135" s="109"/>
      <c r="E135" s="13"/>
      <c r="F135" s="13"/>
      <c r="G135" s="13"/>
      <c r="H135" s="107">
        <f>H130</f>
        <v>24102.849408724032</v>
      </c>
    </row>
    <row r="136" spans="1:8" ht="15.75" x14ac:dyDescent="0.25">
      <c r="A136" s="108" t="s">
        <v>17</v>
      </c>
      <c r="B136" s="7" t="s">
        <v>153</v>
      </c>
      <c r="C136" s="7"/>
      <c r="D136" s="109"/>
      <c r="E136" s="13"/>
      <c r="F136" s="13"/>
      <c r="G136" s="100">
        <v>12</v>
      </c>
      <c r="H136" s="107">
        <f>SUM(H135*G136)</f>
        <v>289234.19290468842</v>
      </c>
    </row>
    <row r="137" spans="1:8" ht="15.75" x14ac:dyDescent="0.25">
      <c r="A137" s="6"/>
      <c r="B137" s="6"/>
      <c r="C137" s="6"/>
      <c r="D137" s="6"/>
      <c r="E137" s="6"/>
      <c r="F137" s="6"/>
      <c r="G137" s="6"/>
      <c r="H137" s="6"/>
    </row>
    <row r="139" spans="1:8" x14ac:dyDescent="0.25">
      <c r="A139" s="150" t="s">
        <v>203</v>
      </c>
      <c r="B139" s="150"/>
    </row>
    <row r="140" spans="1:8" x14ac:dyDescent="0.25">
      <c r="A140" s="150" t="s">
        <v>204</v>
      </c>
      <c r="B140" s="150"/>
    </row>
    <row r="141" spans="1:8" x14ac:dyDescent="0.25">
      <c r="A141" s="150" t="s">
        <v>205</v>
      </c>
      <c r="B141" s="150"/>
    </row>
    <row r="142" spans="1:8" x14ac:dyDescent="0.25">
      <c r="A142" s="150"/>
      <c r="B142" s="150"/>
    </row>
    <row r="143" spans="1:8" x14ac:dyDescent="0.25">
      <c r="A143" s="150" t="s">
        <v>206</v>
      </c>
      <c r="B143" s="150"/>
    </row>
    <row r="145" spans="1:6" x14ac:dyDescent="0.25">
      <c r="A145" t="s">
        <v>207</v>
      </c>
    </row>
    <row r="146" spans="1:6" x14ac:dyDescent="0.25">
      <c r="A146" s="150" t="s">
        <v>208</v>
      </c>
    </row>
    <row r="147" spans="1:6" x14ac:dyDescent="0.25">
      <c r="A147" s="150" t="s">
        <v>209</v>
      </c>
    </row>
    <row r="148" spans="1:6" x14ac:dyDescent="0.25">
      <c r="A148" s="150"/>
    </row>
    <row r="149" spans="1:6" x14ac:dyDescent="0.25">
      <c r="A149" s="150" t="s">
        <v>210</v>
      </c>
    </row>
    <row r="150" spans="1:6" x14ac:dyDescent="0.25">
      <c r="A150" s="150"/>
    </row>
    <row r="151" spans="1:6" x14ac:dyDescent="0.25">
      <c r="A151" s="150" t="s">
        <v>211</v>
      </c>
    </row>
    <row r="152" spans="1:6" x14ac:dyDescent="0.25">
      <c r="A152" s="150" t="s">
        <v>212</v>
      </c>
    </row>
    <row r="153" spans="1:6" x14ac:dyDescent="0.25">
      <c r="A153" s="150"/>
    </row>
    <row r="154" spans="1:6" x14ac:dyDescent="0.25">
      <c r="A154" s="150" t="s">
        <v>206</v>
      </c>
    </row>
    <row r="155" spans="1:6" x14ac:dyDescent="0.25">
      <c r="A155" s="150" t="s">
        <v>222</v>
      </c>
    </row>
    <row r="156" spans="1:6" x14ac:dyDescent="0.25">
      <c r="B156" s="151" t="s">
        <v>213</v>
      </c>
      <c r="C156" s="152"/>
      <c r="D156" s="152"/>
      <c r="E156" s="152"/>
      <c r="F156" s="152"/>
    </row>
    <row r="157" spans="1:6" x14ac:dyDescent="0.25">
      <c r="B157" s="151"/>
      <c r="C157" s="152"/>
      <c r="D157" s="152"/>
      <c r="E157" s="152"/>
      <c r="F157" s="152"/>
    </row>
    <row r="158" spans="1:6" x14ac:dyDescent="0.25">
      <c r="B158" s="151" t="s">
        <v>214</v>
      </c>
      <c r="C158" s="152" t="s">
        <v>215</v>
      </c>
      <c r="D158" s="152" t="s">
        <v>216</v>
      </c>
      <c r="E158" s="152" t="s">
        <v>217</v>
      </c>
      <c r="F158" s="152" t="s">
        <v>218</v>
      </c>
    </row>
    <row r="159" spans="1:6" x14ac:dyDescent="0.25">
      <c r="B159" s="151" t="s">
        <v>219</v>
      </c>
      <c r="C159" s="153">
        <v>1.6500000000000001E-2</v>
      </c>
      <c r="D159" s="153">
        <v>7.5999999999999998E-2</v>
      </c>
      <c r="E159" s="154">
        <v>0.05</v>
      </c>
      <c r="F159" s="152">
        <v>0.85750000000000004</v>
      </c>
    </row>
    <row r="160" spans="1:6" x14ac:dyDescent="0.25">
      <c r="B160" s="151" t="s">
        <v>220</v>
      </c>
      <c r="C160" s="153">
        <v>6.4999999999999997E-3</v>
      </c>
      <c r="D160" s="154">
        <v>0.03</v>
      </c>
      <c r="E160" s="154">
        <v>0.05</v>
      </c>
      <c r="F160" s="152">
        <v>0.91349999999999998</v>
      </c>
    </row>
    <row r="161" spans="1:6" x14ac:dyDescent="0.25">
      <c r="B161" s="151" t="s">
        <v>221</v>
      </c>
      <c r="C161" s="153">
        <v>4.4000000000000003E-3</v>
      </c>
      <c r="D161" s="153">
        <v>2.35E-2</v>
      </c>
      <c r="E161" s="154">
        <v>0.05</v>
      </c>
      <c r="F161" s="152">
        <v>0.92210000000000003</v>
      </c>
    </row>
    <row r="163" spans="1:6" x14ac:dyDescent="0.25">
      <c r="A163" s="156" t="s">
        <v>224</v>
      </c>
    </row>
  </sheetData>
  <mergeCells count="51">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0">
      <formula1>$J$28:$J$31</formula1>
      <formula2>0</formula2>
    </dataValidation>
    <dataValidation type="list" operator="equal" allowBlank="1" showErrorMessage="1" promptTitle="Percentual" sqref="E30">
      <formula1>$K$28:$K$31</formula1>
      <formula2>0</formula2>
    </dataValidation>
  </dataValidations>
  <pageMargins left="0.7" right="0.7" top="0.75" bottom="0.75" header="0.3" footer="0.3"/>
  <pageSetup paperSize="9" scale="45" orientation="portrait"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3"/>
  <sheetViews>
    <sheetView topLeftCell="A113" zoomScale="70" zoomScaleNormal="70" workbookViewId="0">
      <selection activeCell="G87" sqref="G87"/>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17.1406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t="s">
        <v>202</v>
      </c>
      <c r="B2" s="3" t="s">
        <v>0</v>
      </c>
      <c r="C2" s="3"/>
      <c r="D2" s="4" t="s">
        <v>1</v>
      </c>
      <c r="E2" s="3"/>
      <c r="F2" s="3" t="s">
        <v>2</v>
      </c>
      <c r="G2" s="3"/>
      <c r="H2" s="5" t="s">
        <v>156</v>
      </c>
    </row>
    <row r="3" spans="1:8" ht="15.75" x14ac:dyDescent="0.25">
      <c r="A3" s="273" t="s">
        <v>3</v>
      </c>
      <c r="B3" s="273"/>
      <c r="C3" s="273"/>
      <c r="D3" s="273"/>
      <c r="E3" s="273"/>
      <c r="F3" s="273"/>
      <c r="G3" s="273"/>
      <c r="H3" s="273"/>
    </row>
    <row r="4" spans="1:8" ht="15.75" x14ac:dyDescent="0.25">
      <c r="A4" s="6" t="s">
        <v>4</v>
      </c>
      <c r="B4" s="7" t="s">
        <v>5</v>
      </c>
      <c r="C4" s="7"/>
      <c r="D4" s="8"/>
      <c r="E4" s="291" t="s">
        <v>6</v>
      </c>
      <c r="F4" s="291"/>
      <c r="G4" s="291"/>
      <c r="H4" s="291"/>
    </row>
    <row r="5" spans="1:8" ht="15.75" x14ac:dyDescent="0.25">
      <c r="A5" s="6" t="s">
        <v>7</v>
      </c>
      <c r="B5" s="7" t="s">
        <v>8</v>
      </c>
      <c r="C5" s="7"/>
      <c r="D5" s="9"/>
      <c r="E5" s="291"/>
      <c r="F5" s="291"/>
      <c r="G5" s="291"/>
      <c r="H5" s="291"/>
    </row>
    <row r="6" spans="1:8" ht="15.75" x14ac:dyDescent="0.25">
      <c r="A6" s="6" t="s">
        <v>9</v>
      </c>
      <c r="B6" s="7" t="s">
        <v>10</v>
      </c>
      <c r="C6" s="7"/>
      <c r="D6" s="10" t="s">
        <v>11</v>
      </c>
      <c r="E6" s="291"/>
      <c r="F6" s="291"/>
      <c r="G6" s="291"/>
      <c r="H6" s="291"/>
    </row>
    <row r="7" spans="1:8" ht="15.75" x14ac:dyDescent="0.25">
      <c r="A7" s="292"/>
      <c r="B7" s="292"/>
      <c r="C7" s="292"/>
      <c r="D7" s="292"/>
      <c r="E7" s="11"/>
      <c r="F7" s="11"/>
      <c r="G7" s="11"/>
      <c r="H7" s="11"/>
    </row>
    <row r="8" spans="1:8" ht="15.75" x14ac:dyDescent="0.25">
      <c r="A8" s="273" t="s">
        <v>12</v>
      </c>
      <c r="B8" s="273"/>
      <c r="C8" s="273"/>
      <c r="D8" s="273"/>
      <c r="E8" s="273"/>
      <c r="F8" s="273"/>
      <c r="G8" s="273"/>
      <c r="H8" s="273"/>
    </row>
    <row r="9" spans="1:8" x14ac:dyDescent="0.25">
      <c r="A9" s="12" t="s">
        <v>4</v>
      </c>
      <c r="B9" s="13" t="s">
        <v>13</v>
      </c>
      <c r="C9" s="13"/>
      <c r="D9" s="285" t="s">
        <v>14</v>
      </c>
      <c r="E9" s="285"/>
      <c r="F9" s="285"/>
      <c r="G9" s="285"/>
      <c r="H9" s="285"/>
    </row>
    <row r="10" spans="1:8" x14ac:dyDescent="0.25">
      <c r="A10" s="12" t="s">
        <v>7</v>
      </c>
      <c r="B10" s="13" t="s">
        <v>15</v>
      </c>
      <c r="C10" s="13"/>
      <c r="D10" s="293" t="s">
        <v>184</v>
      </c>
      <c r="E10" s="293"/>
      <c r="F10" s="293"/>
      <c r="G10" s="293"/>
      <c r="H10" s="293"/>
    </row>
    <row r="11" spans="1:8" x14ac:dyDescent="0.25">
      <c r="A11" s="12" t="s">
        <v>9</v>
      </c>
      <c r="B11" s="13" t="s">
        <v>16</v>
      </c>
      <c r="C11" s="13"/>
      <c r="D11" s="293" t="s">
        <v>174</v>
      </c>
      <c r="E11" s="293"/>
      <c r="F11" s="293"/>
      <c r="G11" s="293"/>
      <c r="H11" s="293"/>
    </row>
    <row r="12" spans="1:8" x14ac:dyDescent="0.25">
      <c r="A12" s="12" t="s">
        <v>17</v>
      </c>
      <c r="B12" s="13" t="s">
        <v>18</v>
      </c>
      <c r="C12" s="13"/>
      <c r="D12" s="293">
        <v>12</v>
      </c>
      <c r="E12" s="293"/>
      <c r="F12" s="293"/>
      <c r="G12" s="293"/>
      <c r="H12" s="293"/>
    </row>
    <row r="13" spans="1:8" x14ac:dyDescent="0.25">
      <c r="A13" s="12"/>
      <c r="B13" s="13"/>
      <c r="C13" s="13"/>
      <c r="D13" s="14"/>
      <c r="E13" s="14"/>
      <c r="F13" s="14"/>
      <c r="G13" s="14"/>
      <c r="H13" s="15"/>
    </row>
    <row r="14" spans="1:8" ht="15.75" x14ac:dyDescent="0.25">
      <c r="A14" s="273" t="s">
        <v>19</v>
      </c>
      <c r="B14" s="273"/>
      <c r="C14" s="273"/>
      <c r="D14" s="273"/>
      <c r="E14" s="273"/>
      <c r="F14" s="273"/>
      <c r="G14" s="273"/>
      <c r="H14" s="273"/>
    </row>
    <row r="15" spans="1:8" ht="15.75" x14ac:dyDescent="0.25">
      <c r="A15" s="12"/>
      <c r="B15" s="16" t="s">
        <v>20</v>
      </c>
      <c r="C15" s="16"/>
      <c r="D15" s="17" t="s">
        <v>21</v>
      </c>
      <c r="E15" s="294" t="s">
        <v>22</v>
      </c>
      <c r="F15" s="294"/>
      <c r="G15" s="294"/>
      <c r="H15" s="294"/>
    </row>
    <row r="16" spans="1:8" x14ac:dyDescent="0.25">
      <c r="A16" s="12" t="s">
        <v>4</v>
      </c>
      <c r="B16" s="18" t="s">
        <v>180</v>
      </c>
      <c r="C16" s="19"/>
      <c r="D16" s="20" t="s">
        <v>23</v>
      </c>
      <c r="E16" s="295">
        <v>1</v>
      </c>
      <c r="F16" s="295"/>
      <c r="G16" s="295"/>
      <c r="H16" s="295"/>
    </row>
    <row r="17" spans="1:9" x14ac:dyDescent="0.25">
      <c r="A17" s="12" t="s">
        <v>7</v>
      </c>
      <c r="B17" s="13"/>
      <c r="C17" s="13"/>
      <c r="D17" s="21"/>
      <c r="E17" s="283"/>
      <c r="F17" s="283"/>
      <c r="G17" s="283"/>
      <c r="H17" s="283"/>
    </row>
    <row r="18" spans="1:9" x14ac:dyDescent="0.25">
      <c r="A18" s="12" t="s">
        <v>9</v>
      </c>
      <c r="B18" s="13"/>
      <c r="C18" s="13"/>
      <c r="D18" s="21"/>
      <c r="E18" s="283"/>
      <c r="F18" s="283"/>
      <c r="G18" s="283"/>
      <c r="H18" s="283"/>
    </row>
    <row r="19" spans="1:9" ht="15.75" x14ac:dyDescent="0.25">
      <c r="A19" s="110"/>
      <c r="B19" s="273" t="s">
        <v>24</v>
      </c>
      <c r="C19" s="273"/>
      <c r="D19" s="273"/>
      <c r="E19" s="273"/>
      <c r="F19" s="273"/>
      <c r="G19" s="273"/>
      <c r="H19" s="273"/>
    </row>
    <row r="20" spans="1:9" ht="15.75" x14ac:dyDescent="0.25">
      <c r="A20" s="284" t="s">
        <v>25</v>
      </c>
      <c r="B20" s="284"/>
      <c r="C20" s="284"/>
      <c r="D20" s="284"/>
      <c r="E20" s="284"/>
      <c r="F20" s="284"/>
      <c r="G20" s="284"/>
      <c r="H20" s="284"/>
    </row>
    <row r="21" spans="1:9" x14ac:dyDescent="0.25">
      <c r="A21" s="12">
        <v>1</v>
      </c>
      <c r="B21" s="13" t="s">
        <v>20</v>
      </c>
      <c r="C21" s="13"/>
      <c r="D21" s="285" t="s">
        <v>179</v>
      </c>
      <c r="E21" s="285"/>
      <c r="F21" s="285"/>
      <c r="G21" s="285"/>
      <c r="H21" s="285"/>
    </row>
    <row r="22" spans="1:9" x14ac:dyDescent="0.25">
      <c r="A22" s="12">
        <v>2</v>
      </c>
      <c r="B22" s="13" t="s">
        <v>26</v>
      </c>
      <c r="C22" s="13"/>
      <c r="D22" s="286" t="s">
        <v>178</v>
      </c>
      <c r="E22" s="286"/>
      <c r="F22" s="286"/>
      <c r="G22" s="286"/>
      <c r="H22" s="286"/>
    </row>
    <row r="23" spans="1:9" x14ac:dyDescent="0.25">
      <c r="A23" s="12">
        <v>3</v>
      </c>
      <c r="B23" s="13" t="s">
        <v>27</v>
      </c>
      <c r="C23" s="13"/>
      <c r="D23" s="22">
        <v>1007.64</v>
      </c>
      <c r="E23" s="23"/>
      <c r="F23" s="23"/>
      <c r="G23" s="23"/>
      <c r="H23" s="23"/>
    </row>
    <row r="24" spans="1:9" ht="30" x14ac:dyDescent="0.25">
      <c r="A24" s="1">
        <v>4</v>
      </c>
      <c r="B24" s="24" t="s">
        <v>28</v>
      </c>
      <c r="C24" s="24"/>
      <c r="D24" s="287" t="s">
        <v>170</v>
      </c>
      <c r="E24" s="287"/>
      <c r="F24" s="287"/>
      <c r="G24" s="287"/>
      <c r="H24" s="287"/>
    </row>
    <row r="25" spans="1:9" x14ac:dyDescent="0.25">
      <c r="A25" s="1">
        <v>5</v>
      </c>
      <c r="B25" s="25" t="s">
        <v>29</v>
      </c>
      <c r="C25" s="25"/>
      <c r="D25" s="288" t="s">
        <v>171</v>
      </c>
      <c r="E25" s="288"/>
      <c r="F25" s="288"/>
      <c r="G25" s="288"/>
      <c r="H25" s="288"/>
    </row>
    <row r="26" spans="1:9" ht="15.75" x14ac:dyDescent="0.25">
      <c r="A26" s="26">
        <v>1</v>
      </c>
      <c r="B26" s="271" t="s">
        <v>30</v>
      </c>
      <c r="C26" s="271"/>
      <c r="D26" s="271"/>
      <c r="E26" s="271"/>
      <c r="F26" s="271"/>
      <c r="G26" s="271"/>
      <c r="H26" s="271"/>
    </row>
    <row r="27" spans="1:9" ht="15.75" x14ac:dyDescent="0.25">
      <c r="A27" s="1" t="s">
        <v>4</v>
      </c>
      <c r="B27" s="27" t="s">
        <v>31</v>
      </c>
      <c r="C27" s="27"/>
      <c r="D27" s="27"/>
      <c r="G27" s="28"/>
      <c r="H27" s="29">
        <v>1007.64</v>
      </c>
    </row>
    <row r="28" spans="1:9" ht="15.75" x14ac:dyDescent="0.25">
      <c r="A28" s="1" t="s">
        <v>7</v>
      </c>
      <c r="B28" s="6" t="s">
        <v>32</v>
      </c>
      <c r="C28" s="6"/>
      <c r="D28" s="30" t="s">
        <v>33</v>
      </c>
      <c r="E28" s="31">
        <v>0</v>
      </c>
      <c r="H28" s="32">
        <f>H27*E28</f>
        <v>0</v>
      </c>
    </row>
    <row r="29" spans="1:9" ht="30.75" x14ac:dyDescent="0.25">
      <c r="A29" s="127" t="s">
        <v>9</v>
      </c>
      <c r="B29" s="132" t="s">
        <v>186</v>
      </c>
      <c r="C29" s="133"/>
      <c r="D29" s="134" t="s">
        <v>35</v>
      </c>
      <c r="E29" s="135" t="s">
        <v>36</v>
      </c>
      <c r="F29" s="134" t="s">
        <v>37</v>
      </c>
      <c r="G29" s="136"/>
      <c r="H29" s="137">
        <f>E31*F31</f>
        <v>381.6</v>
      </c>
    </row>
    <row r="30" spans="1:9" ht="15.75" x14ac:dyDescent="0.25">
      <c r="A30" s="1" t="s">
        <v>17</v>
      </c>
      <c r="B30" s="6" t="s">
        <v>38</v>
      </c>
      <c r="C30" s="6"/>
      <c r="D30" s="30" t="s">
        <v>39</v>
      </c>
      <c r="E30" s="36">
        <v>0</v>
      </c>
      <c r="F30" s="37">
        <v>954</v>
      </c>
      <c r="G30" s="27"/>
      <c r="H30" s="38"/>
      <c r="I30">
        <v>40</v>
      </c>
    </row>
    <row r="31" spans="1:9" ht="15.75" x14ac:dyDescent="0.25">
      <c r="A31" s="1" t="s">
        <v>40</v>
      </c>
      <c r="B31" s="6" t="s">
        <v>41</v>
      </c>
      <c r="C31" s="6"/>
      <c r="E31">
        <v>0.4</v>
      </c>
      <c r="F31">
        <v>954</v>
      </c>
      <c r="G31" s="35"/>
      <c r="H31" s="38"/>
      <c r="I31">
        <v>40</v>
      </c>
    </row>
    <row r="32" spans="1:9" ht="15.75" x14ac:dyDescent="0.25">
      <c r="A32" s="1" t="s">
        <v>42</v>
      </c>
      <c r="B32" s="6" t="s">
        <v>159</v>
      </c>
      <c r="C32" s="6"/>
      <c r="G32" s="35"/>
      <c r="H32" s="38"/>
    </row>
    <row r="33" spans="1:9" ht="15.75" x14ac:dyDescent="0.25">
      <c r="A33" s="1" t="s">
        <v>61</v>
      </c>
      <c r="B33" s="6" t="s">
        <v>155</v>
      </c>
      <c r="C33" s="6"/>
      <c r="G33" s="35"/>
      <c r="H33" s="38"/>
    </row>
    <row r="34" spans="1:9" ht="15.75" x14ac:dyDescent="0.25">
      <c r="A34" s="1" t="s">
        <v>43</v>
      </c>
      <c r="B34" s="8" t="s">
        <v>160</v>
      </c>
      <c r="C34" s="8"/>
      <c r="G34" s="35"/>
      <c r="H34" s="38"/>
    </row>
    <row r="35" spans="1:9" ht="15.75" x14ac:dyDescent="0.25">
      <c r="A35" s="1" t="s">
        <v>161</v>
      </c>
      <c r="B35" s="8" t="s">
        <v>162</v>
      </c>
      <c r="C35" s="8"/>
      <c r="G35" s="35"/>
      <c r="H35" s="38"/>
    </row>
    <row r="36" spans="1:9" ht="15.75" x14ac:dyDescent="0.25">
      <c r="A36" s="1" t="s">
        <v>19</v>
      </c>
      <c r="B36" s="6" t="s">
        <v>44</v>
      </c>
      <c r="C36" s="6"/>
      <c r="D36" s="27"/>
      <c r="E36" s="27"/>
      <c r="F36" s="35"/>
      <c r="G36" s="35"/>
      <c r="H36" s="35">
        <v>0</v>
      </c>
    </row>
    <row r="37" spans="1:9" ht="15.75" x14ac:dyDescent="0.25">
      <c r="A37" s="39"/>
      <c r="B37" s="40" t="s">
        <v>45</v>
      </c>
      <c r="C37" s="40"/>
      <c r="D37" s="41"/>
      <c r="E37" s="41"/>
      <c r="F37" s="42"/>
      <c r="G37" s="42"/>
      <c r="H37" s="43">
        <f>SUM(H27:H36)</f>
        <v>1389.24</v>
      </c>
    </row>
    <row r="38" spans="1:9" ht="15.75" x14ac:dyDescent="0.25">
      <c r="A38" s="44">
        <v>2</v>
      </c>
      <c r="B38" s="289" t="s">
        <v>46</v>
      </c>
      <c r="C38" s="289"/>
      <c r="D38" s="289"/>
      <c r="E38" s="289"/>
      <c r="F38" s="289"/>
      <c r="G38" s="289"/>
      <c r="H38" s="289"/>
    </row>
    <row r="39" spans="1:9" ht="15.75" x14ac:dyDescent="0.25">
      <c r="A39" s="124" t="s">
        <v>47</v>
      </c>
      <c r="B39" s="290" t="s">
        <v>48</v>
      </c>
      <c r="C39" s="290"/>
      <c r="D39" s="290"/>
      <c r="E39" s="290"/>
      <c r="F39" s="290"/>
      <c r="G39" s="290"/>
      <c r="H39" s="290"/>
    </row>
    <row r="40" spans="1:9" ht="15.75" x14ac:dyDescent="0.25">
      <c r="A40" s="1" t="s">
        <v>4</v>
      </c>
      <c r="B40" s="8" t="s">
        <v>49</v>
      </c>
      <c r="C40" s="8"/>
      <c r="D40" s="8"/>
      <c r="E40" s="27"/>
      <c r="F40" s="28"/>
      <c r="G40" s="45">
        <v>8.3299999999999999E-2</v>
      </c>
      <c r="H40" s="28">
        <f>SUM($H$37*G40)</f>
        <v>115.723692</v>
      </c>
    </row>
    <row r="41" spans="1:9" ht="15.75" x14ac:dyDescent="0.25">
      <c r="A41" s="1" t="s">
        <v>7</v>
      </c>
      <c r="B41" s="27" t="s">
        <v>50</v>
      </c>
      <c r="C41" s="27"/>
      <c r="D41" s="27"/>
      <c r="E41" s="27"/>
      <c r="F41" s="46"/>
      <c r="G41" s="47">
        <v>0.121</v>
      </c>
      <c r="H41" s="28">
        <f>SUM($H$37*G41)</f>
        <v>168.09804</v>
      </c>
    </row>
    <row r="42" spans="1:9" ht="15.75" x14ac:dyDescent="0.25">
      <c r="A42" s="1" t="s">
        <v>9</v>
      </c>
      <c r="B42" s="48" t="s">
        <v>51</v>
      </c>
      <c r="C42" s="48"/>
      <c r="D42" s="27"/>
      <c r="E42" s="27"/>
      <c r="F42" s="46"/>
      <c r="G42" s="47">
        <f>G41+G40*G53</f>
        <v>0.15165439999999999</v>
      </c>
      <c r="H42" s="28">
        <f>SUM(H40:H41)*G53</f>
        <v>104.44639737600004</v>
      </c>
    </row>
    <row r="43" spans="1:9" ht="15.75" x14ac:dyDescent="0.25">
      <c r="A43" s="49"/>
      <c r="B43" s="50" t="s">
        <v>45</v>
      </c>
      <c r="C43" s="40"/>
      <c r="D43" s="41"/>
      <c r="E43" s="41"/>
      <c r="F43" s="42"/>
      <c r="G43" s="42"/>
      <c r="H43" s="43">
        <f>SUM(H40:H42)</f>
        <v>388.26812937600005</v>
      </c>
    </row>
    <row r="44" spans="1:9" ht="15.75" x14ac:dyDescent="0.25">
      <c r="A44" s="110" t="s">
        <v>52</v>
      </c>
      <c r="B44" s="273" t="s">
        <v>53</v>
      </c>
      <c r="C44" s="273"/>
      <c r="D44" s="273"/>
      <c r="E44" s="273"/>
      <c r="F44" s="273"/>
      <c r="G44" s="273"/>
      <c r="H44" s="273"/>
    </row>
    <row r="45" spans="1:9" ht="15.75" x14ac:dyDescent="0.25">
      <c r="A45" s="1" t="s">
        <v>4</v>
      </c>
      <c r="B45" s="51" t="s">
        <v>54</v>
      </c>
      <c r="C45" s="51"/>
      <c r="D45" s="27"/>
      <c r="E45" s="27"/>
      <c r="F45" s="28"/>
      <c r="G45" s="45">
        <v>0.2</v>
      </c>
      <c r="H45" s="28">
        <f t="shared" ref="H45:H52" si="0">SUM($H$37*G45)</f>
        <v>277.84800000000001</v>
      </c>
    </row>
    <row r="46" spans="1:9" ht="15.75" x14ac:dyDescent="0.25">
      <c r="A46" s="1" t="s">
        <v>7</v>
      </c>
      <c r="B46" s="51" t="s">
        <v>55</v>
      </c>
      <c r="C46" s="51"/>
      <c r="D46" s="282" t="s">
        <v>56</v>
      </c>
      <c r="E46" s="282"/>
      <c r="F46" s="28"/>
      <c r="G46" s="52">
        <v>1.4999999999999999E-2</v>
      </c>
      <c r="H46" s="28">
        <f t="shared" si="0"/>
        <v>20.8386</v>
      </c>
    </row>
    <row r="47" spans="1:9" ht="15.75" x14ac:dyDescent="0.25">
      <c r="A47" s="1" t="s">
        <v>9</v>
      </c>
      <c r="B47" s="51" t="s">
        <v>57</v>
      </c>
      <c r="C47" s="51"/>
      <c r="D47" s="282"/>
      <c r="E47" s="282"/>
      <c r="F47" s="28"/>
      <c r="G47" s="52">
        <v>0.01</v>
      </c>
      <c r="H47" s="28">
        <f t="shared" si="0"/>
        <v>13.8924</v>
      </c>
      <c r="I47" s="115"/>
    </row>
    <row r="48" spans="1:9" ht="15.75" x14ac:dyDescent="0.25">
      <c r="A48" s="1" t="s">
        <v>17</v>
      </c>
      <c r="B48" s="51" t="s">
        <v>58</v>
      </c>
      <c r="C48" s="51"/>
      <c r="D48" s="27"/>
      <c r="E48" s="27"/>
      <c r="F48" s="28"/>
      <c r="G48" s="52">
        <v>2E-3</v>
      </c>
      <c r="H48" s="28">
        <f t="shared" si="0"/>
        <v>2.7784800000000001</v>
      </c>
    </row>
    <row r="49" spans="1:9" ht="15.75" x14ac:dyDescent="0.25">
      <c r="A49" s="1" t="s">
        <v>40</v>
      </c>
      <c r="B49" s="51" t="s">
        <v>59</v>
      </c>
      <c r="C49" s="51"/>
      <c r="D49" s="27"/>
      <c r="E49" s="27"/>
      <c r="F49" s="28"/>
      <c r="G49" s="52">
        <v>2.5000000000000001E-2</v>
      </c>
      <c r="H49" s="28">
        <f t="shared" si="0"/>
        <v>34.731000000000002</v>
      </c>
    </row>
    <row r="50" spans="1:9" ht="15.75" x14ac:dyDescent="0.25">
      <c r="A50" s="1" t="s">
        <v>42</v>
      </c>
      <c r="B50" s="51" t="s">
        <v>60</v>
      </c>
      <c r="C50" s="51"/>
      <c r="D50" s="27"/>
      <c r="E50" s="27"/>
      <c r="F50" s="28"/>
      <c r="G50" s="45">
        <v>0.08</v>
      </c>
      <c r="H50" s="28">
        <f t="shared" si="0"/>
        <v>111.1392</v>
      </c>
    </row>
    <row r="51" spans="1:9" ht="15.75" x14ac:dyDescent="0.25">
      <c r="A51" s="127" t="s">
        <v>61</v>
      </c>
      <c r="B51" s="128" t="s">
        <v>62</v>
      </c>
      <c r="C51" s="128"/>
      <c r="D51" s="129"/>
      <c r="E51" s="129"/>
      <c r="F51" s="129"/>
      <c r="G51" s="130">
        <v>0.03</v>
      </c>
      <c r="H51" s="131">
        <f t="shared" si="0"/>
        <v>41.677199999999999</v>
      </c>
    </row>
    <row r="52" spans="1:9" ht="15.75" x14ac:dyDescent="0.25">
      <c r="A52" s="1" t="s">
        <v>43</v>
      </c>
      <c r="B52" s="51" t="s">
        <v>63</v>
      </c>
      <c r="C52" s="51"/>
      <c r="D52" s="27"/>
      <c r="E52" s="27"/>
      <c r="F52" s="28"/>
      <c r="G52" s="52">
        <v>6.0000000000000001E-3</v>
      </c>
      <c r="H52" s="28">
        <f t="shared" si="0"/>
        <v>8.3354400000000002</v>
      </c>
    </row>
    <row r="53" spans="1:9" ht="15.75" x14ac:dyDescent="0.25">
      <c r="A53" s="54"/>
      <c r="B53" s="55" t="s">
        <v>45</v>
      </c>
      <c r="C53" s="55"/>
      <c r="D53" s="40"/>
      <c r="E53" s="40"/>
      <c r="F53" s="56"/>
      <c r="G53" s="57">
        <f>SUM(G45:G52)</f>
        <v>0.3680000000000001</v>
      </c>
      <c r="H53" s="58">
        <f>SUM(H45:H52)</f>
        <v>511.24032000000005</v>
      </c>
      <c r="I53" s="121">
        <f>H53+H42</f>
        <v>615.68671737600005</v>
      </c>
    </row>
    <row r="54" spans="1:9" ht="15.75" x14ac:dyDescent="0.25">
      <c r="A54" s="110" t="s">
        <v>64</v>
      </c>
      <c r="B54" s="273" t="s">
        <v>65</v>
      </c>
      <c r="C54" s="273"/>
      <c r="D54" s="273"/>
      <c r="E54" s="273"/>
      <c r="F54" s="273"/>
      <c r="G54" s="273"/>
      <c r="H54" s="273"/>
    </row>
    <row r="55" spans="1:9" ht="15.75" x14ac:dyDescent="0.25">
      <c r="A55" s="6" t="s">
        <v>66</v>
      </c>
      <c r="B55" s="59"/>
      <c r="C55" s="59"/>
      <c r="D55" s="60" t="s">
        <v>67</v>
      </c>
      <c r="E55" s="60" t="s">
        <v>68</v>
      </c>
      <c r="F55" s="60" t="s">
        <v>69</v>
      </c>
      <c r="G55" s="60" t="s">
        <v>70</v>
      </c>
      <c r="H55" s="6"/>
    </row>
    <row r="56" spans="1:9" ht="15.75" x14ac:dyDescent="0.25">
      <c r="A56" s="274" t="s">
        <v>4</v>
      </c>
      <c r="B56" s="6" t="s">
        <v>71</v>
      </c>
      <c r="C56" s="6"/>
      <c r="D56" s="275"/>
      <c r="E56" s="276"/>
      <c r="F56" s="277"/>
      <c r="G56" s="278"/>
      <c r="H56" s="35">
        <f>F56*E56*D56</f>
        <v>0</v>
      </c>
    </row>
    <row r="57" spans="1:9" ht="15.75" x14ac:dyDescent="0.25">
      <c r="A57" s="274"/>
      <c r="B57" s="6" t="s">
        <v>72</v>
      </c>
      <c r="C57" s="6"/>
      <c r="D57" s="275"/>
      <c r="E57" s="275"/>
      <c r="F57" s="275"/>
      <c r="G57" s="275"/>
      <c r="H57" s="35">
        <f>H27*G56</f>
        <v>0</v>
      </c>
    </row>
    <row r="58" spans="1:9" ht="15.75" x14ac:dyDescent="0.25">
      <c r="A58" s="274"/>
      <c r="B58" s="8" t="s">
        <v>73</v>
      </c>
      <c r="C58" s="8"/>
      <c r="D58" s="8"/>
      <c r="E58" s="27"/>
      <c r="F58" s="27"/>
      <c r="G58" s="61"/>
      <c r="H58" s="35">
        <f>H56-H57</f>
        <v>0</v>
      </c>
    </row>
    <row r="59" spans="1:9" ht="15.75" x14ac:dyDescent="0.25">
      <c r="A59" s="274" t="s">
        <v>7</v>
      </c>
      <c r="B59" s="6" t="s">
        <v>74</v>
      </c>
      <c r="C59" s="6"/>
      <c r="D59" s="275">
        <v>1</v>
      </c>
      <c r="E59" s="276">
        <v>1</v>
      </c>
      <c r="F59" s="277">
        <v>0</v>
      </c>
      <c r="G59" s="278">
        <v>0.2</v>
      </c>
      <c r="H59" s="35">
        <f>F59*E59*D59</f>
        <v>0</v>
      </c>
    </row>
    <row r="60" spans="1:9" ht="15.75" x14ac:dyDescent="0.25">
      <c r="A60" s="274"/>
      <c r="B60" s="6" t="s">
        <v>72</v>
      </c>
      <c r="C60" s="6"/>
      <c r="D60" s="275"/>
      <c r="E60" s="275"/>
      <c r="F60" s="275"/>
      <c r="G60" s="275"/>
      <c r="H60" s="35">
        <f>H59*G59</f>
        <v>0</v>
      </c>
    </row>
    <row r="61" spans="1:9" ht="15.75" x14ac:dyDescent="0.25">
      <c r="A61" s="274"/>
      <c r="B61" s="279" t="s">
        <v>75</v>
      </c>
      <c r="C61" s="279"/>
      <c r="D61" s="279"/>
      <c r="E61" s="279"/>
      <c r="F61" s="13"/>
      <c r="G61" s="13"/>
      <c r="H61" s="35">
        <f>H59-H60</f>
        <v>0</v>
      </c>
    </row>
    <row r="62" spans="1:9" ht="15.75" x14ac:dyDescent="0.25">
      <c r="A62" s="62" t="s">
        <v>9</v>
      </c>
      <c r="B62" s="279" t="s">
        <v>76</v>
      </c>
      <c r="C62" s="279"/>
      <c r="D62" s="279"/>
      <c r="E62" s="279"/>
      <c r="F62" s="13"/>
      <c r="G62" s="13"/>
      <c r="H62" s="35">
        <v>0</v>
      </c>
    </row>
    <row r="63" spans="1:9" ht="15.75" x14ac:dyDescent="0.25">
      <c r="A63" s="62" t="s">
        <v>17</v>
      </c>
      <c r="B63" s="117" t="s">
        <v>177</v>
      </c>
      <c r="C63" s="117"/>
      <c r="D63" s="117"/>
      <c r="E63" s="117" t="s">
        <v>163</v>
      </c>
      <c r="F63" s="13"/>
      <c r="G63" s="13"/>
      <c r="H63" s="35">
        <v>100</v>
      </c>
    </row>
    <row r="64" spans="1:9" ht="15.75" x14ac:dyDescent="0.25">
      <c r="A64" s="62" t="s">
        <v>40</v>
      </c>
      <c r="B64" s="116" t="s">
        <v>223</v>
      </c>
      <c r="C64" s="117"/>
      <c r="D64" s="117"/>
      <c r="E64" s="117"/>
      <c r="F64" s="13"/>
      <c r="G64" s="13"/>
      <c r="H64" s="35">
        <v>3.53</v>
      </c>
    </row>
    <row r="65" spans="1:13" ht="15.75" x14ac:dyDescent="0.25">
      <c r="A65" s="62" t="s">
        <v>42</v>
      </c>
      <c r="B65" s="116" t="s">
        <v>78</v>
      </c>
      <c r="C65" s="116"/>
      <c r="D65" s="116"/>
      <c r="E65" s="118">
        <v>0</v>
      </c>
      <c r="H65" s="35">
        <f>(1/12*H27)*E65</f>
        <v>0</v>
      </c>
      <c r="J65" s="125"/>
      <c r="K65" s="13"/>
      <c r="L65" s="13"/>
      <c r="M65" s="35"/>
    </row>
    <row r="66" spans="1:13" ht="15.75" x14ac:dyDescent="0.25">
      <c r="A66" s="63"/>
      <c r="B66" s="280" t="s">
        <v>45</v>
      </c>
      <c r="C66" s="280"/>
      <c r="D66" s="280"/>
      <c r="E66" s="280"/>
      <c r="F66" s="64"/>
      <c r="G66" s="64"/>
      <c r="H66" s="65">
        <f>H58+H61+H62+H63+H64+H65</f>
        <v>103.53</v>
      </c>
    </row>
    <row r="67" spans="1:13" ht="15.75" x14ac:dyDescent="0.25">
      <c r="A67" s="273" t="s">
        <v>79</v>
      </c>
      <c r="B67" s="273"/>
      <c r="C67" s="273"/>
      <c r="D67" s="273"/>
      <c r="E67" s="273"/>
      <c r="F67" s="273"/>
      <c r="G67" s="273"/>
      <c r="H67" s="273"/>
    </row>
    <row r="68" spans="1:13" ht="15.75" x14ac:dyDescent="0.25">
      <c r="A68" s="62" t="s">
        <v>47</v>
      </c>
      <c r="B68" s="8" t="s">
        <v>80</v>
      </c>
      <c r="C68" s="8"/>
      <c r="D68" s="66"/>
      <c r="E68" s="66"/>
      <c r="F68" s="13"/>
      <c r="G68" s="13"/>
      <c r="H68" s="67">
        <f>H43</f>
        <v>388.26812937600005</v>
      </c>
    </row>
    <row r="69" spans="1:13" ht="15.75" x14ac:dyDescent="0.25">
      <c r="A69" s="62" t="s">
        <v>52</v>
      </c>
      <c r="B69" s="8" t="s">
        <v>81</v>
      </c>
      <c r="C69" s="8"/>
      <c r="D69" s="66"/>
      <c r="E69" s="66"/>
      <c r="F69" s="13"/>
      <c r="G69" s="13"/>
      <c r="H69" s="67">
        <f>H53</f>
        <v>511.24032000000005</v>
      </c>
    </row>
    <row r="70" spans="1:13" ht="15.75" x14ac:dyDescent="0.25">
      <c r="A70" s="62" t="s">
        <v>64</v>
      </c>
      <c r="B70" s="8" t="s">
        <v>82</v>
      </c>
      <c r="C70" s="8"/>
      <c r="D70" s="66"/>
      <c r="E70" s="66"/>
      <c r="F70" s="13"/>
      <c r="G70" s="13"/>
      <c r="H70" s="67">
        <f>H66</f>
        <v>103.53</v>
      </c>
    </row>
    <row r="71" spans="1:13" ht="15.75" x14ac:dyDescent="0.25">
      <c r="A71" s="63"/>
      <c r="B71" s="126" t="s">
        <v>45</v>
      </c>
      <c r="C71" s="126"/>
      <c r="D71" s="126"/>
      <c r="E71" s="126"/>
      <c r="F71" s="64"/>
      <c r="G71" s="64"/>
      <c r="H71" s="65">
        <f>SUM(H68:H70)</f>
        <v>1003.038449376</v>
      </c>
    </row>
    <row r="72" spans="1:13" ht="15.75" x14ac:dyDescent="0.25">
      <c r="A72" s="68">
        <v>3</v>
      </c>
      <c r="B72" s="271" t="s">
        <v>83</v>
      </c>
      <c r="C72" s="271"/>
      <c r="D72" s="271"/>
      <c r="E72" s="271"/>
      <c r="F72" s="271"/>
      <c r="G72" s="271"/>
      <c r="H72" s="271"/>
    </row>
    <row r="73" spans="1:13" ht="15.75" x14ac:dyDescent="0.25">
      <c r="A73" s="1" t="s">
        <v>4</v>
      </c>
      <c r="B73" s="48" t="s">
        <v>84</v>
      </c>
      <c r="C73" s="48"/>
      <c r="D73" s="69"/>
      <c r="E73" s="69"/>
      <c r="F73" s="69"/>
      <c r="G73" s="45">
        <v>4.1999999999999997E-3</v>
      </c>
      <c r="H73" s="28">
        <f>SUM($H$37*G73)</f>
        <v>5.8348079999999998</v>
      </c>
    </row>
    <row r="74" spans="1:13" ht="15.75" x14ac:dyDescent="0.25">
      <c r="A74" s="1" t="s">
        <v>7</v>
      </c>
      <c r="B74" s="48" t="s">
        <v>85</v>
      </c>
      <c r="C74" s="48"/>
      <c r="D74" s="27"/>
      <c r="E74" s="27"/>
      <c r="F74" s="28"/>
      <c r="G74" s="45">
        <f>G73*0.08</f>
        <v>3.3599999999999998E-4</v>
      </c>
      <c r="H74" s="28">
        <f>SUM($H$37*G74)</f>
        <v>0.46678463999999997</v>
      </c>
      <c r="I74" s="115"/>
    </row>
    <row r="75" spans="1:13" ht="15.75" x14ac:dyDescent="0.25">
      <c r="A75" s="1" t="s">
        <v>9</v>
      </c>
      <c r="B75" s="48" t="s">
        <v>86</v>
      </c>
      <c r="C75" s="48"/>
      <c r="D75" s="70"/>
      <c r="E75" s="70"/>
      <c r="F75" s="70"/>
      <c r="G75" s="71">
        <v>2.0000000000000001E-4</v>
      </c>
      <c r="H75" s="72">
        <f>(ROUND(SUM($H$37*G75),2))</f>
        <v>0.28000000000000003</v>
      </c>
    </row>
    <row r="76" spans="1:13" ht="15.75" x14ac:dyDescent="0.25">
      <c r="A76" s="1" t="s">
        <v>17</v>
      </c>
      <c r="B76" s="27" t="s">
        <v>87</v>
      </c>
      <c r="C76" s="27"/>
      <c r="D76" s="69"/>
      <c r="E76" s="69"/>
      <c r="F76" s="69"/>
      <c r="G76" s="45">
        <v>1.9400000000000001E-2</v>
      </c>
      <c r="H76" s="28">
        <f>SUM($H$37*G76)</f>
        <v>26.951256000000001</v>
      </c>
    </row>
    <row r="77" spans="1:13" ht="15.75" x14ac:dyDescent="0.25">
      <c r="A77" s="1" t="s">
        <v>40</v>
      </c>
      <c r="B77" s="48" t="s">
        <v>225</v>
      </c>
      <c r="C77" s="48"/>
      <c r="D77" s="27"/>
      <c r="E77" s="27"/>
      <c r="F77" s="28"/>
      <c r="G77" s="45">
        <f>G76*G53</f>
        <v>7.1392000000000027E-3</v>
      </c>
      <c r="H77" s="28">
        <f>SUM($H$37*G77)</f>
        <v>9.9180622080000038</v>
      </c>
      <c r="I77" s="115"/>
    </row>
    <row r="78" spans="1:13" ht="15.75" x14ac:dyDescent="0.25">
      <c r="A78" s="1" t="s">
        <v>42</v>
      </c>
      <c r="B78" s="27" t="s">
        <v>89</v>
      </c>
      <c r="C78" s="27"/>
      <c r="D78" s="70"/>
      <c r="E78" s="70"/>
      <c r="F78" s="70"/>
      <c r="G78" s="52">
        <v>1E-4</v>
      </c>
      <c r="H78" s="28">
        <f>SUM($H$37*G78)</f>
        <v>0.13892400000000002</v>
      </c>
    </row>
    <row r="79" spans="1:13" ht="15.75" x14ac:dyDescent="0.25">
      <c r="A79" s="73"/>
      <c r="B79" s="55" t="s">
        <v>45</v>
      </c>
      <c r="C79" s="55"/>
      <c r="D79" s="41"/>
      <c r="E79" s="41"/>
      <c r="F79" s="74"/>
      <c r="G79" s="57">
        <f>SUM(G73:G78)</f>
        <v>3.1375200000000006E-2</v>
      </c>
      <c r="H79" s="58">
        <f>SUM(H73:H78)</f>
        <v>43.589834848000002</v>
      </c>
    </row>
    <row r="80" spans="1:13" ht="15.75" x14ac:dyDescent="0.25">
      <c r="A80" s="44">
        <v>4</v>
      </c>
      <c r="B80" s="281" t="s">
        <v>90</v>
      </c>
      <c r="C80" s="281"/>
      <c r="D80" s="281"/>
      <c r="E80" s="281"/>
      <c r="F80" s="281"/>
      <c r="G80" s="281"/>
      <c r="H80" s="281"/>
    </row>
    <row r="81" spans="1:9" ht="15.75" x14ac:dyDescent="0.25">
      <c r="A81" s="75" t="s">
        <v>91</v>
      </c>
      <c r="B81" s="273" t="s">
        <v>236</v>
      </c>
      <c r="C81" s="273"/>
      <c r="D81" s="273"/>
      <c r="E81" s="273"/>
      <c r="F81" s="273"/>
      <c r="G81" s="273"/>
      <c r="H81" s="273"/>
    </row>
    <row r="82" spans="1:9" ht="15.75" x14ac:dyDescent="0.25">
      <c r="A82" s="12" t="s">
        <v>4</v>
      </c>
      <c r="B82" s="51" t="s">
        <v>226</v>
      </c>
      <c r="C82" s="51"/>
      <c r="D82" s="53"/>
      <c r="E82" s="53"/>
      <c r="F82" s="53"/>
      <c r="G82" s="45">
        <f>(G40+G41)/12</f>
        <v>1.7024999999999998E-2</v>
      </c>
      <c r="H82" s="28"/>
    </row>
    <row r="83" spans="1:9" ht="15.75" x14ac:dyDescent="0.25">
      <c r="A83" s="123" t="s">
        <v>7</v>
      </c>
      <c r="B83" s="51" t="s">
        <v>227</v>
      </c>
      <c r="C83" s="272" t="s">
        <v>95</v>
      </c>
      <c r="D83" s="76">
        <v>1</v>
      </c>
      <c r="E83" s="272" t="s">
        <v>96</v>
      </c>
      <c r="F83" s="77">
        <v>1</v>
      </c>
      <c r="G83" s="45">
        <f t="shared" ref="G83:G88" si="1">D83/360*F83</f>
        <v>2.7777777777777779E-3</v>
      </c>
      <c r="H83" s="28">
        <f>SUM(H$37*G83)</f>
        <v>3.859</v>
      </c>
    </row>
    <row r="84" spans="1:9" ht="15.75" x14ac:dyDescent="0.25">
      <c r="A84" s="12" t="s">
        <v>9</v>
      </c>
      <c r="B84" s="51" t="s">
        <v>228</v>
      </c>
      <c r="C84" s="272"/>
      <c r="D84" s="76">
        <v>20</v>
      </c>
      <c r="E84" s="272"/>
      <c r="F84" s="77">
        <v>1.4999999999999999E-2</v>
      </c>
      <c r="G84" s="45">
        <f t="shared" si="1"/>
        <v>8.3333333333333328E-4</v>
      </c>
      <c r="H84" s="28">
        <f>SUM(H$37*G84)</f>
        <v>1.1577</v>
      </c>
    </row>
    <row r="85" spans="1:9" ht="15.75" x14ac:dyDescent="0.25">
      <c r="A85" s="12" t="s">
        <v>17</v>
      </c>
      <c r="B85" s="51" t="s">
        <v>229</v>
      </c>
      <c r="C85" s="272"/>
      <c r="D85" s="76">
        <v>15</v>
      </c>
      <c r="E85" s="272"/>
      <c r="F85" s="78">
        <v>1.3299999999999999E-2</v>
      </c>
      <c r="G85" s="45">
        <f t="shared" si="1"/>
        <v>5.5416666666666657E-4</v>
      </c>
      <c r="H85" s="28">
        <f>SUM(H$37*G85)</f>
        <v>0.7698704999999999</v>
      </c>
    </row>
    <row r="86" spans="1:9" ht="15.75" x14ac:dyDescent="0.25">
      <c r="A86" s="12" t="s">
        <v>40</v>
      </c>
      <c r="B86" s="51" t="s">
        <v>230</v>
      </c>
      <c r="C86" s="272"/>
      <c r="D86" s="76">
        <v>180</v>
      </c>
      <c r="E86" s="272"/>
      <c r="F86" s="77">
        <v>1.8599999999999998E-2</v>
      </c>
      <c r="G86" s="45">
        <f t="shared" si="1"/>
        <v>9.2999999999999992E-3</v>
      </c>
      <c r="H86" s="28">
        <f>SUM(H$37*G86)</f>
        <v>12.919931999999999</v>
      </c>
    </row>
    <row r="87" spans="1:9" ht="15.75" x14ac:dyDescent="0.25">
      <c r="A87" s="12" t="s">
        <v>42</v>
      </c>
      <c r="B87" s="51" t="s">
        <v>231</v>
      </c>
      <c r="C87" s="272"/>
      <c r="D87" s="79">
        <v>5</v>
      </c>
      <c r="E87" s="272"/>
      <c r="F87" s="80">
        <v>1</v>
      </c>
      <c r="G87" s="45">
        <f t="shared" si="1"/>
        <v>1.3888888888888888E-2</v>
      </c>
      <c r="H87" s="81">
        <f>SUM(H$37*G87)</f>
        <v>19.294999999999998</v>
      </c>
    </row>
    <row r="88" spans="1:9" ht="15.75" x14ac:dyDescent="0.25">
      <c r="A88" s="12" t="s">
        <v>61</v>
      </c>
      <c r="B88" s="51" t="s">
        <v>101</v>
      </c>
      <c r="C88" s="272"/>
      <c r="D88" s="79"/>
      <c r="E88" s="272"/>
      <c r="F88" s="82"/>
      <c r="G88" s="45">
        <f t="shared" si="1"/>
        <v>0</v>
      </c>
      <c r="H88" s="81"/>
    </row>
    <row r="89" spans="1:9" ht="15.75" x14ac:dyDescent="0.25">
      <c r="A89" s="19"/>
      <c r="B89" s="6" t="s">
        <v>102</v>
      </c>
      <c r="C89" s="6"/>
      <c r="D89" s="27"/>
      <c r="E89" s="27"/>
      <c r="F89" s="28"/>
      <c r="G89" s="45">
        <f>SUM(G82:G88)</f>
        <v>4.4379166666666664E-2</v>
      </c>
      <c r="H89" s="28">
        <f>SUM(H82:H88)</f>
        <v>38.001502500000001</v>
      </c>
    </row>
    <row r="90" spans="1:9" ht="15.75" x14ac:dyDescent="0.25">
      <c r="A90" s="12" t="s">
        <v>42</v>
      </c>
      <c r="B90" s="51" t="s">
        <v>103</v>
      </c>
      <c r="C90" s="51"/>
      <c r="D90" s="27"/>
      <c r="E90" s="27"/>
      <c r="F90" s="28"/>
      <c r="G90" s="45">
        <f>G89*G53</f>
        <v>1.6331533333333335E-2</v>
      </c>
      <c r="H90" s="28">
        <f>SUM(H89*G53)</f>
        <v>13.984552920000004</v>
      </c>
      <c r="I90" s="115">
        <f>SUM(H83:H89)*G53</f>
        <v>27.969105840000008</v>
      </c>
    </row>
    <row r="91" spans="1:9" ht="15.75" x14ac:dyDescent="0.25">
      <c r="A91" s="73"/>
      <c r="B91" s="55" t="s">
        <v>45</v>
      </c>
      <c r="C91" s="55"/>
      <c r="D91" s="41"/>
      <c r="E91" s="41"/>
      <c r="F91" s="74"/>
      <c r="G91" s="57">
        <f>G90+G89</f>
        <v>6.0710699999999999E-2</v>
      </c>
      <c r="H91" s="58">
        <f>SUM(H89:H90)</f>
        <v>51.986055420000007</v>
      </c>
    </row>
    <row r="92" spans="1:9" ht="15.75" x14ac:dyDescent="0.25">
      <c r="A92" s="75" t="s">
        <v>104</v>
      </c>
      <c r="B92" s="273" t="s">
        <v>232</v>
      </c>
      <c r="C92" s="273"/>
      <c r="D92" s="273"/>
      <c r="E92" s="273"/>
      <c r="F92" s="273"/>
      <c r="G92" s="273"/>
      <c r="H92" s="273"/>
    </row>
    <row r="93" spans="1:9" ht="15.75" x14ac:dyDescent="0.25">
      <c r="A93" s="12" t="s">
        <v>4</v>
      </c>
      <c r="B93" s="51" t="s">
        <v>234</v>
      </c>
      <c r="C93" s="51"/>
      <c r="D93" s="53"/>
      <c r="E93" s="53"/>
      <c r="F93" s="53"/>
      <c r="G93" s="52">
        <v>0</v>
      </c>
      <c r="H93" s="28">
        <f>SUM(H$37*G93)</f>
        <v>0</v>
      </c>
    </row>
    <row r="94" spans="1:9" ht="15.75" x14ac:dyDescent="0.25">
      <c r="A94" s="12" t="s">
        <v>7</v>
      </c>
      <c r="B94" s="51" t="s">
        <v>107</v>
      </c>
      <c r="C94" s="51"/>
      <c r="D94" s="53"/>
      <c r="E94" s="53"/>
      <c r="F94" s="53"/>
      <c r="G94" s="45">
        <f>G93*G53</f>
        <v>0</v>
      </c>
      <c r="H94" s="28">
        <f>SUM($H$37*G94)</f>
        <v>0</v>
      </c>
    </row>
    <row r="95" spans="1:9" ht="15.75" x14ac:dyDescent="0.25">
      <c r="A95" s="73"/>
      <c r="B95" s="55" t="s">
        <v>45</v>
      </c>
      <c r="C95" s="55"/>
      <c r="D95" s="41"/>
      <c r="E95" s="41"/>
      <c r="F95" s="74"/>
      <c r="G95" s="57">
        <f>G94+G93</f>
        <v>0</v>
      </c>
      <c r="H95" s="58">
        <f>SUM(H93:H94)</f>
        <v>0</v>
      </c>
    </row>
    <row r="96" spans="1:9" ht="15.75" x14ac:dyDescent="0.25">
      <c r="A96" s="273" t="s">
        <v>108</v>
      </c>
      <c r="B96" s="273"/>
      <c r="C96" s="273"/>
      <c r="D96" s="273"/>
      <c r="E96" s="273"/>
      <c r="F96" s="273"/>
      <c r="G96" s="273"/>
      <c r="H96" s="273"/>
    </row>
    <row r="97" spans="1:10" ht="15.75" x14ac:dyDescent="0.25">
      <c r="A97" s="12" t="s">
        <v>91</v>
      </c>
      <c r="B97" s="51" t="s">
        <v>235</v>
      </c>
      <c r="C97" s="51"/>
      <c r="D97" s="53"/>
      <c r="E97" s="53"/>
      <c r="F97" s="53"/>
      <c r="G97" s="45">
        <f>G91</f>
        <v>6.0710699999999999E-2</v>
      </c>
      <c r="H97" s="28">
        <f>H91</f>
        <v>51.986055420000007</v>
      </c>
    </row>
    <row r="98" spans="1:10" ht="15.75" x14ac:dyDescent="0.25">
      <c r="A98" s="12" t="s">
        <v>104</v>
      </c>
      <c r="B98" s="51" t="s">
        <v>233</v>
      </c>
      <c r="C98" s="51"/>
      <c r="D98" s="53"/>
      <c r="E98" s="53"/>
      <c r="F98" s="53"/>
      <c r="G98" s="45">
        <f>G95</f>
        <v>0</v>
      </c>
      <c r="H98" s="28">
        <f>H95</f>
        <v>0</v>
      </c>
    </row>
    <row r="99" spans="1:10" ht="15.75" x14ac:dyDescent="0.25">
      <c r="A99" s="73"/>
      <c r="B99" s="55" t="s">
        <v>45</v>
      </c>
      <c r="C99" s="55"/>
      <c r="D99" s="41"/>
      <c r="E99" s="41"/>
      <c r="F99" s="74"/>
      <c r="G99" s="57">
        <f>G95+G91</f>
        <v>6.0710699999999999E-2</v>
      </c>
      <c r="H99" s="58">
        <f>SUM(H97:H98)</f>
        <v>51.986055420000007</v>
      </c>
    </row>
    <row r="100" spans="1:10" ht="15.75" x14ac:dyDescent="0.25">
      <c r="A100" s="83">
        <v>5</v>
      </c>
      <c r="B100" s="273" t="s">
        <v>110</v>
      </c>
      <c r="C100" s="273"/>
      <c r="D100" s="273"/>
      <c r="E100" s="273"/>
      <c r="F100" s="273"/>
      <c r="G100" s="273"/>
      <c r="H100" s="273"/>
    </row>
    <row r="101" spans="1:10" ht="15.75" x14ac:dyDescent="0.25">
      <c r="A101" s="12" t="s">
        <v>4</v>
      </c>
      <c r="B101" s="13" t="s">
        <v>111</v>
      </c>
      <c r="C101" s="13"/>
      <c r="D101" s="84"/>
      <c r="E101" s="27"/>
      <c r="F101" s="85"/>
      <c r="G101" s="85"/>
      <c r="H101" s="85">
        <v>23.84</v>
      </c>
    </row>
    <row r="102" spans="1:10" ht="15.75" x14ac:dyDescent="0.25">
      <c r="A102" s="12" t="s">
        <v>7</v>
      </c>
      <c r="B102" s="13" t="s">
        <v>112</v>
      </c>
      <c r="C102" s="13"/>
      <c r="D102" s="84"/>
      <c r="E102" s="27"/>
      <c r="F102" s="85"/>
      <c r="G102" s="85"/>
      <c r="H102" s="85"/>
    </row>
    <row r="103" spans="1:10" ht="15.75" x14ac:dyDescent="0.25">
      <c r="A103" s="12" t="s">
        <v>9</v>
      </c>
      <c r="B103" s="13" t="s">
        <v>113</v>
      </c>
      <c r="C103" s="13"/>
      <c r="D103" s="84"/>
      <c r="E103" s="27"/>
      <c r="F103" s="85"/>
      <c r="G103" s="85"/>
      <c r="H103" s="85">
        <v>5.21</v>
      </c>
    </row>
    <row r="104" spans="1:10" ht="15.75" x14ac:dyDescent="0.25">
      <c r="A104" s="12" t="s">
        <v>17</v>
      </c>
      <c r="B104" s="13" t="s">
        <v>164</v>
      </c>
      <c r="C104" s="13"/>
      <c r="D104" s="84"/>
      <c r="E104" s="27"/>
      <c r="F104" s="85"/>
      <c r="G104" s="85"/>
      <c r="H104" s="85">
        <v>44.75</v>
      </c>
    </row>
    <row r="105" spans="1:10" ht="15.75" x14ac:dyDescent="0.25">
      <c r="A105" s="12" t="s">
        <v>40</v>
      </c>
      <c r="B105" s="13" t="s">
        <v>101</v>
      </c>
      <c r="C105" s="13"/>
      <c r="D105" s="84"/>
      <c r="E105" s="27"/>
      <c r="F105" s="85"/>
      <c r="G105" s="85"/>
      <c r="H105" s="85">
        <v>0</v>
      </c>
    </row>
    <row r="106" spans="1:10" ht="15.75" x14ac:dyDescent="0.25">
      <c r="A106" s="73"/>
      <c r="B106" s="55" t="s">
        <v>45</v>
      </c>
      <c r="C106" s="55"/>
      <c r="D106" s="41"/>
      <c r="E106" s="41"/>
      <c r="F106" s="74"/>
      <c r="G106" s="57"/>
      <c r="H106" s="58">
        <f>SUM(H101:H105)</f>
        <v>73.8</v>
      </c>
    </row>
    <row r="107" spans="1:10" ht="15.75" x14ac:dyDescent="0.25">
      <c r="A107" s="83">
        <v>6</v>
      </c>
      <c r="B107" s="273" t="s">
        <v>114</v>
      </c>
      <c r="C107" s="273"/>
      <c r="D107" s="273"/>
      <c r="E107" s="273"/>
      <c r="F107" s="273"/>
      <c r="G107" s="273"/>
      <c r="H107" s="273"/>
    </row>
    <row r="108" spans="1:10" ht="15.75" x14ac:dyDescent="0.25">
      <c r="A108" s="86" t="s">
        <v>4</v>
      </c>
      <c r="B108" s="27"/>
      <c r="C108" s="27"/>
      <c r="D108" s="27"/>
      <c r="E108" s="27"/>
      <c r="F108" s="27" t="s">
        <v>115</v>
      </c>
      <c r="G108" s="52">
        <v>0.01</v>
      </c>
      <c r="H108" s="28">
        <f>G108*H123</f>
        <v>25.616543396440001</v>
      </c>
    </row>
    <row r="109" spans="1:10" ht="15.75" x14ac:dyDescent="0.25">
      <c r="A109" s="86" t="s">
        <v>7</v>
      </c>
      <c r="B109" s="27"/>
      <c r="C109" s="27"/>
      <c r="D109" s="27"/>
      <c r="E109" s="27"/>
      <c r="F109" s="12" t="s">
        <v>116</v>
      </c>
      <c r="G109" s="52">
        <v>0.01</v>
      </c>
      <c r="H109" s="28">
        <f>(H108+H123)*$G$109</f>
        <v>25.872708830404406</v>
      </c>
    </row>
    <row r="110" spans="1:10" ht="15.75" x14ac:dyDescent="0.25">
      <c r="A110" s="86" t="s">
        <v>9</v>
      </c>
      <c r="B110" s="27"/>
      <c r="C110" s="27"/>
      <c r="D110" s="27"/>
      <c r="E110" s="27"/>
      <c r="F110" s="12" t="s">
        <v>117</v>
      </c>
      <c r="G110" s="87">
        <f>SUM(G111:G115)</f>
        <v>8.6499999999999994E-2</v>
      </c>
      <c r="H110" s="28">
        <f>H112+H113+H115</f>
        <v>247.44052621437118</v>
      </c>
    </row>
    <row r="111" spans="1:10" ht="15.75" x14ac:dyDescent="0.25">
      <c r="A111" s="86" t="s">
        <v>118</v>
      </c>
      <c r="B111" s="27"/>
      <c r="C111" s="27"/>
      <c r="D111" s="27"/>
      <c r="E111" s="27"/>
      <c r="F111" s="88" t="s">
        <v>119</v>
      </c>
      <c r="G111" s="45">
        <v>0</v>
      </c>
      <c r="H111" s="28"/>
    </row>
    <row r="112" spans="1:10" ht="15.75" x14ac:dyDescent="0.25">
      <c r="A112" s="86" t="s">
        <v>120</v>
      </c>
      <c r="B112" s="27"/>
      <c r="C112" s="27"/>
      <c r="D112" s="27"/>
      <c r="E112" s="27"/>
      <c r="F112" s="88" t="s">
        <v>121</v>
      </c>
      <c r="G112" s="52">
        <v>6.4999999999999997E-3</v>
      </c>
      <c r="H112" s="28">
        <f>((H108+H109+H123)/0.9135)*G112</f>
        <v>18.593796767553901</v>
      </c>
      <c r="J112" s="120"/>
    </row>
    <row r="113" spans="1:9" ht="15.75" x14ac:dyDescent="0.25">
      <c r="A113" s="86" t="s">
        <v>122</v>
      </c>
      <c r="B113" s="27"/>
      <c r="C113" s="27"/>
      <c r="D113" s="27"/>
      <c r="E113" s="27"/>
      <c r="F113" s="88" t="s">
        <v>123</v>
      </c>
      <c r="G113" s="52">
        <v>0.03</v>
      </c>
      <c r="H113" s="28">
        <f>((H108+H109+H123)/0.9135)*G113</f>
        <v>85.817523542556472</v>
      </c>
    </row>
    <row r="114" spans="1:9" ht="15.75" x14ac:dyDescent="0.25">
      <c r="A114" s="86" t="s">
        <v>124</v>
      </c>
      <c r="B114" s="27"/>
      <c r="C114" s="27"/>
      <c r="D114" s="27"/>
      <c r="E114" s="27"/>
      <c r="F114" s="88" t="s">
        <v>125</v>
      </c>
      <c r="G114" s="45">
        <v>0</v>
      </c>
      <c r="H114" s="28"/>
    </row>
    <row r="115" spans="1:9" ht="15.75" x14ac:dyDescent="0.25">
      <c r="A115" s="86" t="s">
        <v>126</v>
      </c>
      <c r="B115" s="27"/>
      <c r="C115" s="27"/>
      <c r="D115" s="27"/>
      <c r="E115" s="27"/>
      <c r="F115" s="88" t="s">
        <v>127</v>
      </c>
      <c r="G115" s="45">
        <v>0.05</v>
      </c>
      <c r="H115" s="28">
        <f>((H108+H109+H123)/0.9135)*G115</f>
        <v>143.02920590426081</v>
      </c>
    </row>
    <row r="116" spans="1:9" ht="15.75" x14ac:dyDescent="0.25">
      <c r="A116" s="73"/>
      <c r="B116" s="55" t="s">
        <v>45</v>
      </c>
      <c r="C116" s="55"/>
      <c r="D116" s="41"/>
      <c r="E116" s="41"/>
      <c r="F116" s="74"/>
      <c r="G116" s="57">
        <f>G110+G109+G108</f>
        <v>0.10649999999999998</v>
      </c>
      <c r="H116" s="58">
        <f>H108+H109+H110</f>
        <v>298.9297784412156</v>
      </c>
    </row>
    <row r="117" spans="1:9" ht="15.75" x14ac:dyDescent="0.25">
      <c r="A117" s="89"/>
      <c r="B117" s="271" t="s">
        <v>128</v>
      </c>
      <c r="C117" s="271"/>
      <c r="D117" s="271"/>
      <c r="E117" s="271"/>
      <c r="F117" s="271"/>
      <c r="G117" s="271"/>
      <c r="H117" s="271"/>
    </row>
    <row r="118" spans="1:9" ht="15.75" x14ac:dyDescent="0.25">
      <c r="A118" s="90" t="s">
        <v>4</v>
      </c>
      <c r="B118" s="27" t="s">
        <v>30</v>
      </c>
      <c r="C118" s="27"/>
      <c r="D118" s="27"/>
      <c r="E118" s="27"/>
      <c r="F118" s="28"/>
      <c r="G118" s="45">
        <f>SUM(H118/H$125)</f>
        <v>0.48564906419529208</v>
      </c>
      <c r="H118" s="28">
        <f>SUM(H37)</f>
        <v>1389.24</v>
      </c>
    </row>
    <row r="119" spans="1:9" ht="15.75" x14ac:dyDescent="0.25">
      <c r="A119" s="90" t="s">
        <v>7</v>
      </c>
      <c r="B119" s="27" t="s">
        <v>129</v>
      </c>
      <c r="C119" s="27"/>
      <c r="D119" s="27"/>
      <c r="E119" s="27"/>
      <c r="F119" s="28"/>
      <c r="G119" s="45">
        <f>SUM(H119/H$125)</f>
        <v>0.35064113061195423</v>
      </c>
      <c r="H119" s="28">
        <f>H71</f>
        <v>1003.038449376</v>
      </c>
    </row>
    <row r="120" spans="1:9" ht="15.75" x14ac:dyDescent="0.25">
      <c r="A120" s="90" t="s">
        <v>9</v>
      </c>
      <c r="B120" s="27" t="s">
        <v>130</v>
      </c>
      <c r="C120" s="27"/>
      <c r="D120" s="27"/>
      <c r="E120" s="27"/>
      <c r="F120" s="28"/>
      <c r="G120" s="45">
        <f>SUM(H120/H$125)</f>
        <v>1.5238088812846258E-2</v>
      </c>
      <c r="H120" s="28">
        <f>H79</f>
        <v>43.589834848000002</v>
      </c>
    </row>
    <row r="121" spans="1:9" ht="15.75" x14ac:dyDescent="0.25">
      <c r="A121" s="90" t="s">
        <v>17</v>
      </c>
      <c r="B121" s="27" t="s">
        <v>131</v>
      </c>
      <c r="C121" s="27"/>
      <c r="D121" s="27"/>
      <c r="E121" s="27"/>
      <c r="F121" s="28"/>
      <c r="G121" s="45">
        <f>SUM(H121/H$125)</f>
        <v>1.8173230806719929E-2</v>
      </c>
      <c r="H121" s="28">
        <f>H99</f>
        <v>51.986055420000007</v>
      </c>
    </row>
    <row r="122" spans="1:9" ht="15.75" x14ac:dyDescent="0.25">
      <c r="A122" s="90" t="s">
        <v>40</v>
      </c>
      <c r="B122" s="27" t="s">
        <v>110</v>
      </c>
      <c r="C122" s="27"/>
      <c r="D122" s="27"/>
      <c r="E122" s="27"/>
      <c r="F122" s="28"/>
      <c r="G122" s="45">
        <f>H122/H125</f>
        <v>2.579892670640966E-2</v>
      </c>
      <c r="H122" s="28">
        <f>H106</f>
        <v>73.8</v>
      </c>
      <c r="I122" s="115">
        <f>H108+H109+H123</f>
        <v>2613.1435918708444</v>
      </c>
    </row>
    <row r="123" spans="1:9" ht="15.75" x14ac:dyDescent="0.25">
      <c r="A123" s="90"/>
      <c r="B123" s="27" t="s">
        <v>132</v>
      </c>
      <c r="C123" s="27"/>
      <c r="D123" s="27"/>
      <c r="E123" s="27"/>
      <c r="F123" s="28"/>
      <c r="G123" s="45">
        <f>SUM(G118:G122)</f>
        <v>0.89550044113322225</v>
      </c>
      <c r="H123" s="28">
        <f>SUM(H118:H122)</f>
        <v>2561.6543396440002</v>
      </c>
      <c r="I123" s="115">
        <f>I122/0.9135</f>
        <v>2860.5841180852158</v>
      </c>
    </row>
    <row r="124" spans="1:9" ht="15.75" x14ac:dyDescent="0.25">
      <c r="A124" s="90" t="s">
        <v>40</v>
      </c>
      <c r="B124" s="27" t="s">
        <v>133</v>
      </c>
      <c r="C124" s="27"/>
      <c r="D124" s="27"/>
      <c r="E124" s="27"/>
      <c r="F124" s="28"/>
      <c r="G124" s="45">
        <f>SUM(H124/H$125)</f>
        <v>0.10449955886677778</v>
      </c>
      <c r="H124" s="28">
        <f>H116</f>
        <v>298.9297784412156</v>
      </c>
    </row>
    <row r="125" spans="1:9" ht="15.75" x14ac:dyDescent="0.25">
      <c r="A125" s="55"/>
      <c r="B125" s="55" t="s">
        <v>134</v>
      </c>
      <c r="C125" s="55"/>
      <c r="D125" s="55"/>
      <c r="E125" s="55"/>
      <c r="F125" s="55"/>
      <c r="G125" s="55">
        <f>SUM(G123+G124)</f>
        <v>1</v>
      </c>
      <c r="H125" s="91">
        <f>H124+H123</f>
        <v>2860.5841180852158</v>
      </c>
      <c r="I125" s="121"/>
    </row>
    <row r="126" spans="1:9" ht="15.75" x14ac:dyDescent="0.25">
      <c r="A126" s="92"/>
      <c r="B126" s="271" t="s">
        <v>135</v>
      </c>
      <c r="C126" s="271"/>
      <c r="D126" s="271"/>
      <c r="E126" s="271"/>
      <c r="F126" s="271"/>
      <c r="G126" s="271"/>
      <c r="H126" s="271"/>
    </row>
    <row r="127" spans="1:9" ht="47.25" x14ac:dyDescent="0.25">
      <c r="A127" s="27"/>
      <c r="B127" s="16" t="s">
        <v>20</v>
      </c>
      <c r="C127" s="16"/>
      <c r="D127" s="93" t="s">
        <v>136</v>
      </c>
      <c r="E127" s="93" t="s">
        <v>137</v>
      </c>
      <c r="F127" s="94" t="s">
        <v>138</v>
      </c>
      <c r="G127" s="93" t="s">
        <v>139</v>
      </c>
      <c r="H127" s="95" t="s">
        <v>140</v>
      </c>
    </row>
    <row r="128" spans="1:9"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2860.5841180852158</v>
      </c>
      <c r="E129" s="100">
        <v>5</v>
      </c>
      <c r="F129" s="99">
        <f>D129*E129</f>
        <v>14302.920590426078</v>
      </c>
      <c r="G129" s="101">
        <v>1</v>
      </c>
      <c r="H129" s="28">
        <f>E129*D129</f>
        <v>14302.920590426078</v>
      </c>
    </row>
    <row r="130" spans="1:8" ht="15.75" x14ac:dyDescent="0.25">
      <c r="A130" s="27"/>
      <c r="B130" s="102" t="s">
        <v>147</v>
      </c>
      <c r="C130" s="102"/>
      <c r="D130" s="103"/>
      <c r="E130" s="103"/>
      <c r="F130" s="103"/>
      <c r="G130" s="103"/>
      <c r="H130" s="104">
        <f>SUM(H129)</f>
        <v>14302.920590426078</v>
      </c>
    </row>
    <row r="131" spans="1:8" ht="15.75" x14ac:dyDescent="0.25">
      <c r="A131" s="27"/>
      <c r="B131" s="16"/>
      <c r="C131" s="16"/>
      <c r="D131" s="105"/>
      <c r="E131" s="16"/>
      <c r="F131" s="16"/>
      <c r="G131" s="16"/>
      <c r="H131" s="16"/>
    </row>
    <row r="132" spans="1:8" ht="15.75" x14ac:dyDescent="0.25">
      <c r="A132" s="83"/>
      <c r="B132" s="271" t="s">
        <v>148</v>
      </c>
      <c r="C132" s="271"/>
      <c r="D132" s="271"/>
      <c r="E132" s="271"/>
      <c r="F132" s="271"/>
      <c r="G132" s="271"/>
      <c r="H132" s="271"/>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2860.5841180852158</v>
      </c>
    </row>
    <row r="135" spans="1:8" ht="15.75" x14ac:dyDescent="0.25">
      <c r="A135" s="108" t="s">
        <v>7</v>
      </c>
      <c r="B135" s="109" t="s">
        <v>152</v>
      </c>
      <c r="C135" s="109"/>
      <c r="D135" s="109"/>
      <c r="E135" s="13"/>
      <c r="F135" s="13"/>
      <c r="G135" s="13"/>
      <c r="H135" s="107">
        <f>H130</f>
        <v>14302.920590426078</v>
      </c>
    </row>
    <row r="136" spans="1:8" ht="15.75" x14ac:dyDescent="0.25">
      <c r="A136" s="108" t="s">
        <v>17</v>
      </c>
      <c r="B136" s="7" t="s">
        <v>153</v>
      </c>
      <c r="C136" s="7"/>
      <c r="D136" s="109"/>
      <c r="E136" s="13"/>
      <c r="F136" s="13"/>
      <c r="G136" s="100">
        <v>12</v>
      </c>
      <c r="H136" s="107">
        <f>SUM(H135*G136)</f>
        <v>171635.04708511295</v>
      </c>
    </row>
    <row r="137" spans="1:8" ht="15.75" x14ac:dyDescent="0.25">
      <c r="A137" s="6"/>
      <c r="B137" s="6"/>
      <c r="C137" s="6"/>
      <c r="D137" s="6"/>
      <c r="E137" s="6"/>
      <c r="F137" s="6"/>
      <c r="G137" s="6"/>
      <c r="H137" s="6"/>
    </row>
    <row r="139" spans="1:8" x14ac:dyDescent="0.25">
      <c r="A139" s="150" t="s">
        <v>203</v>
      </c>
      <c r="B139" s="150"/>
    </row>
    <row r="140" spans="1:8" x14ac:dyDescent="0.25">
      <c r="A140" s="150" t="s">
        <v>204</v>
      </c>
      <c r="B140" s="150"/>
    </row>
    <row r="141" spans="1:8" x14ac:dyDescent="0.25">
      <c r="A141" s="150" t="s">
        <v>205</v>
      </c>
      <c r="B141" s="150"/>
    </row>
    <row r="142" spans="1:8" x14ac:dyDescent="0.25">
      <c r="A142" s="150"/>
      <c r="B142" s="150"/>
    </row>
    <row r="143" spans="1:8" x14ac:dyDescent="0.25">
      <c r="A143" s="150" t="s">
        <v>206</v>
      </c>
      <c r="B143" s="150"/>
    </row>
    <row r="145" spans="1:6" x14ac:dyDescent="0.25">
      <c r="A145" t="s">
        <v>207</v>
      </c>
    </row>
    <row r="146" spans="1:6" x14ac:dyDescent="0.25">
      <c r="A146" s="150" t="s">
        <v>208</v>
      </c>
    </row>
    <row r="147" spans="1:6" x14ac:dyDescent="0.25">
      <c r="A147" s="150" t="s">
        <v>209</v>
      </c>
    </row>
    <row r="148" spans="1:6" x14ac:dyDescent="0.25">
      <c r="A148" s="150"/>
    </row>
    <row r="149" spans="1:6" x14ac:dyDescent="0.25">
      <c r="A149" s="150" t="s">
        <v>210</v>
      </c>
    </row>
    <row r="150" spans="1:6" x14ac:dyDescent="0.25">
      <c r="A150" s="150"/>
    </row>
    <row r="151" spans="1:6" x14ac:dyDescent="0.25">
      <c r="A151" s="150" t="s">
        <v>211</v>
      </c>
    </row>
    <row r="152" spans="1:6" x14ac:dyDescent="0.25">
      <c r="A152" s="150" t="s">
        <v>212</v>
      </c>
    </row>
    <row r="153" spans="1:6" x14ac:dyDescent="0.25">
      <c r="A153" s="150"/>
    </row>
    <row r="154" spans="1:6" x14ac:dyDescent="0.25">
      <c r="A154" s="150" t="s">
        <v>206</v>
      </c>
    </row>
    <row r="155" spans="1:6" x14ac:dyDescent="0.25">
      <c r="A155" s="150" t="s">
        <v>222</v>
      </c>
    </row>
    <row r="156" spans="1:6" x14ac:dyDescent="0.25">
      <c r="B156" s="151" t="s">
        <v>213</v>
      </c>
      <c r="C156" s="152"/>
      <c r="D156" s="152"/>
      <c r="E156" s="152"/>
      <c r="F156" s="152"/>
    </row>
    <row r="157" spans="1:6" x14ac:dyDescent="0.25">
      <c r="B157" s="151"/>
      <c r="C157" s="152"/>
      <c r="D157" s="152"/>
      <c r="E157" s="152"/>
      <c r="F157" s="152"/>
    </row>
    <row r="158" spans="1:6" x14ac:dyDescent="0.25">
      <c r="B158" s="151" t="s">
        <v>214</v>
      </c>
      <c r="C158" s="152" t="s">
        <v>215</v>
      </c>
      <c r="D158" s="152" t="s">
        <v>216</v>
      </c>
      <c r="E158" s="152" t="s">
        <v>217</v>
      </c>
      <c r="F158" s="152" t="s">
        <v>218</v>
      </c>
    </row>
    <row r="159" spans="1:6" x14ac:dyDescent="0.25">
      <c r="B159" s="151" t="s">
        <v>219</v>
      </c>
      <c r="C159" s="153">
        <v>1.6500000000000001E-2</v>
      </c>
      <c r="D159" s="153">
        <v>7.5999999999999998E-2</v>
      </c>
      <c r="E159" s="154">
        <v>0.05</v>
      </c>
      <c r="F159" s="152">
        <v>0.85750000000000004</v>
      </c>
    </row>
    <row r="160" spans="1:6" x14ac:dyDescent="0.25">
      <c r="B160" s="151" t="s">
        <v>220</v>
      </c>
      <c r="C160" s="153">
        <v>6.4999999999999997E-3</v>
      </c>
      <c r="D160" s="154">
        <v>0.03</v>
      </c>
      <c r="E160" s="154">
        <v>0.05</v>
      </c>
      <c r="F160" s="152">
        <v>0.91349999999999998</v>
      </c>
    </row>
    <row r="161" spans="1:6" x14ac:dyDescent="0.25">
      <c r="B161" s="151" t="s">
        <v>221</v>
      </c>
      <c r="C161" s="153">
        <v>4.4000000000000003E-3</v>
      </c>
      <c r="D161" s="153">
        <v>2.35E-2</v>
      </c>
      <c r="E161" s="154">
        <v>0.05</v>
      </c>
      <c r="F161" s="152">
        <v>0.92210000000000003</v>
      </c>
    </row>
    <row r="163" spans="1:6" x14ac:dyDescent="0.25">
      <c r="A163" s="156" t="s">
        <v>224</v>
      </c>
    </row>
  </sheetData>
  <dataConsolidate/>
  <mergeCells count="51">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0">
      <formula1>$K$28:$K$31</formula1>
      <formula2>0</formula2>
    </dataValidation>
    <dataValidation type="list" operator="equal" allowBlank="1" showErrorMessage="1" sqref="D30">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5"/>
  <sheetViews>
    <sheetView topLeftCell="A119" zoomScale="70" zoomScaleNormal="70" workbookViewId="0">
      <selection activeCell="G83" sqref="G83"/>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273" t="s">
        <v>3</v>
      </c>
      <c r="B3" s="273"/>
      <c r="C3" s="273"/>
      <c r="D3" s="273"/>
      <c r="E3" s="273"/>
      <c r="F3" s="273"/>
      <c r="G3" s="273"/>
      <c r="H3" s="273"/>
    </row>
    <row r="4" spans="1:8" ht="15.75" x14ac:dyDescent="0.25">
      <c r="A4" s="6" t="s">
        <v>4</v>
      </c>
      <c r="B4" s="7" t="s">
        <v>5</v>
      </c>
      <c r="C4" s="7"/>
      <c r="D4" s="8"/>
      <c r="E4" s="291" t="s">
        <v>6</v>
      </c>
      <c r="F4" s="291"/>
      <c r="G4" s="291"/>
      <c r="H4" s="291"/>
    </row>
    <row r="5" spans="1:8" ht="15.75" x14ac:dyDescent="0.25">
      <c r="A5" s="6" t="s">
        <v>7</v>
      </c>
      <c r="B5" s="7" t="s">
        <v>8</v>
      </c>
      <c r="C5" s="7"/>
      <c r="D5" s="9"/>
      <c r="E5" s="291"/>
      <c r="F5" s="291"/>
      <c r="G5" s="291"/>
      <c r="H5" s="291"/>
    </row>
    <row r="6" spans="1:8" ht="15.75" x14ac:dyDescent="0.25">
      <c r="A6" s="6" t="s">
        <v>9</v>
      </c>
      <c r="B6" s="7" t="s">
        <v>10</v>
      </c>
      <c r="C6" s="7"/>
      <c r="D6" s="10" t="s">
        <v>11</v>
      </c>
      <c r="E6" s="291"/>
      <c r="F6" s="291"/>
      <c r="G6" s="291"/>
      <c r="H6" s="291"/>
    </row>
    <row r="7" spans="1:8" ht="15.75" x14ac:dyDescent="0.25">
      <c r="A7" s="292"/>
      <c r="B7" s="292"/>
      <c r="C7" s="292"/>
      <c r="D7" s="292"/>
      <c r="E7" s="11"/>
      <c r="F7" s="11"/>
      <c r="G7" s="11"/>
      <c r="H7" s="11"/>
    </row>
    <row r="8" spans="1:8" ht="15.75" x14ac:dyDescent="0.25">
      <c r="A8" s="273" t="s">
        <v>12</v>
      </c>
      <c r="B8" s="273"/>
      <c r="C8" s="273"/>
      <c r="D8" s="273"/>
      <c r="E8" s="273"/>
      <c r="F8" s="273"/>
      <c r="G8" s="273"/>
      <c r="H8" s="273"/>
    </row>
    <row r="9" spans="1:8" x14ac:dyDescent="0.25">
      <c r="A9" s="12" t="s">
        <v>4</v>
      </c>
      <c r="B9" s="13" t="s">
        <v>13</v>
      </c>
      <c r="C9" s="13"/>
      <c r="D9" s="285" t="s">
        <v>14</v>
      </c>
      <c r="E9" s="285"/>
      <c r="F9" s="285"/>
      <c r="G9" s="285"/>
      <c r="H9" s="285"/>
    </row>
    <row r="10" spans="1:8" x14ac:dyDescent="0.25">
      <c r="A10" s="12" t="s">
        <v>7</v>
      </c>
      <c r="B10" s="13" t="s">
        <v>15</v>
      </c>
      <c r="C10" s="13"/>
      <c r="D10" s="293" t="s">
        <v>184</v>
      </c>
      <c r="E10" s="293"/>
      <c r="F10" s="293"/>
      <c r="G10" s="293"/>
      <c r="H10" s="293"/>
    </row>
    <row r="11" spans="1:8" x14ac:dyDescent="0.25">
      <c r="A11" s="12" t="s">
        <v>9</v>
      </c>
      <c r="B11" s="13" t="s">
        <v>16</v>
      </c>
      <c r="C11" s="13"/>
      <c r="D11" s="293" t="s">
        <v>174</v>
      </c>
      <c r="E11" s="293"/>
      <c r="F11" s="293"/>
      <c r="G11" s="293"/>
      <c r="H11" s="293"/>
    </row>
    <row r="12" spans="1:8" x14ac:dyDescent="0.25">
      <c r="A12" s="12" t="s">
        <v>17</v>
      </c>
      <c r="B12" s="13" t="s">
        <v>18</v>
      </c>
      <c r="C12" s="13"/>
      <c r="D12" s="293">
        <v>12</v>
      </c>
      <c r="E12" s="293"/>
      <c r="F12" s="293"/>
      <c r="G12" s="293"/>
      <c r="H12" s="293"/>
    </row>
    <row r="13" spans="1:8" x14ac:dyDescent="0.25">
      <c r="A13" s="12"/>
      <c r="B13" s="13"/>
      <c r="C13" s="13"/>
      <c r="D13" s="14"/>
      <c r="E13" s="14"/>
      <c r="F13" s="14"/>
      <c r="G13" s="14"/>
      <c r="H13" s="15"/>
    </row>
    <row r="14" spans="1:8" ht="15.75" x14ac:dyDescent="0.25">
      <c r="A14" s="273" t="s">
        <v>19</v>
      </c>
      <c r="B14" s="273"/>
      <c r="C14" s="273"/>
      <c r="D14" s="273"/>
      <c r="E14" s="273"/>
      <c r="F14" s="273"/>
      <c r="G14" s="273"/>
      <c r="H14" s="273"/>
    </row>
    <row r="15" spans="1:8" ht="15.75" x14ac:dyDescent="0.25">
      <c r="A15" s="12"/>
      <c r="B15" s="16" t="s">
        <v>20</v>
      </c>
      <c r="C15" s="16"/>
      <c r="D15" s="17" t="s">
        <v>21</v>
      </c>
      <c r="E15" s="294" t="s">
        <v>22</v>
      </c>
      <c r="F15" s="294"/>
      <c r="G15" s="294"/>
      <c r="H15" s="294"/>
    </row>
    <row r="16" spans="1:8" x14ac:dyDescent="0.25">
      <c r="A16" s="12" t="s">
        <v>4</v>
      </c>
      <c r="B16" s="18" t="s">
        <v>180</v>
      </c>
      <c r="C16" s="19"/>
      <c r="D16" s="20" t="s">
        <v>23</v>
      </c>
      <c r="E16" s="295">
        <v>1</v>
      </c>
      <c r="F16" s="295"/>
      <c r="G16" s="295"/>
      <c r="H16" s="295"/>
    </row>
    <row r="17" spans="1:9" x14ac:dyDescent="0.25">
      <c r="A17" s="12" t="s">
        <v>7</v>
      </c>
      <c r="B17" s="13"/>
      <c r="C17" s="13"/>
      <c r="D17" s="21"/>
      <c r="E17" s="283"/>
      <c r="F17" s="283"/>
      <c r="G17" s="283"/>
      <c r="H17" s="283"/>
    </row>
    <row r="18" spans="1:9" x14ac:dyDescent="0.25">
      <c r="A18" s="12" t="s">
        <v>9</v>
      </c>
      <c r="B18" s="13"/>
      <c r="C18" s="13"/>
      <c r="D18" s="21"/>
      <c r="E18" s="283"/>
      <c r="F18" s="283"/>
      <c r="G18" s="283"/>
      <c r="H18" s="283"/>
    </row>
    <row r="19" spans="1:9" ht="15.75" x14ac:dyDescent="0.25">
      <c r="A19" s="110"/>
      <c r="B19" s="273" t="s">
        <v>24</v>
      </c>
      <c r="C19" s="273"/>
      <c r="D19" s="273"/>
      <c r="E19" s="273"/>
      <c r="F19" s="273"/>
      <c r="G19" s="273"/>
      <c r="H19" s="273"/>
    </row>
    <row r="20" spans="1:9" ht="15.75" x14ac:dyDescent="0.25">
      <c r="A20" s="284" t="s">
        <v>25</v>
      </c>
      <c r="B20" s="284"/>
      <c r="C20" s="284"/>
      <c r="D20" s="284"/>
      <c r="E20" s="284"/>
      <c r="F20" s="284"/>
      <c r="G20" s="284"/>
      <c r="H20" s="284"/>
    </row>
    <row r="21" spans="1:9" x14ac:dyDescent="0.25">
      <c r="A21" s="12">
        <v>1</v>
      </c>
      <c r="B21" s="13" t="s">
        <v>20</v>
      </c>
      <c r="C21" s="13"/>
      <c r="D21" s="285" t="s">
        <v>181</v>
      </c>
      <c r="E21" s="285"/>
      <c r="F21" s="285"/>
      <c r="G21" s="285"/>
      <c r="H21" s="285"/>
    </row>
    <row r="22" spans="1:9" x14ac:dyDescent="0.25">
      <c r="A22" s="12">
        <v>2</v>
      </c>
      <c r="B22" s="13" t="s">
        <v>26</v>
      </c>
      <c r="C22" s="13"/>
      <c r="D22" s="286" t="s">
        <v>176</v>
      </c>
      <c r="E22" s="286"/>
      <c r="F22" s="286"/>
      <c r="G22" s="286"/>
      <c r="H22" s="286"/>
    </row>
    <row r="23" spans="1:9" x14ac:dyDescent="0.25">
      <c r="A23" s="12">
        <v>3</v>
      </c>
      <c r="B23" s="13" t="s">
        <v>27</v>
      </c>
      <c r="C23" s="13"/>
      <c r="D23" s="22">
        <v>1134.1099999999999</v>
      </c>
      <c r="E23" s="23"/>
      <c r="F23" s="23"/>
      <c r="G23" s="23"/>
      <c r="H23" s="23"/>
    </row>
    <row r="24" spans="1:9" ht="30" x14ac:dyDescent="0.25">
      <c r="A24" s="1">
        <v>4</v>
      </c>
      <c r="B24" s="24" t="s">
        <v>28</v>
      </c>
      <c r="C24" s="24"/>
      <c r="D24" s="287" t="s">
        <v>170</v>
      </c>
      <c r="E24" s="287"/>
      <c r="F24" s="287"/>
      <c r="G24" s="287"/>
      <c r="H24" s="287"/>
    </row>
    <row r="25" spans="1:9" x14ac:dyDescent="0.25">
      <c r="A25" s="1">
        <v>5</v>
      </c>
      <c r="B25" s="25" t="s">
        <v>29</v>
      </c>
      <c r="C25" s="25"/>
      <c r="D25" s="288" t="s">
        <v>171</v>
      </c>
      <c r="E25" s="288"/>
      <c r="F25" s="288"/>
      <c r="G25" s="288"/>
      <c r="H25" s="288"/>
    </row>
    <row r="26" spans="1:9" ht="15.75" x14ac:dyDescent="0.25">
      <c r="A26" s="26">
        <v>1</v>
      </c>
      <c r="B26" s="271" t="s">
        <v>30</v>
      </c>
      <c r="C26" s="271"/>
      <c r="D26" s="271"/>
      <c r="E26" s="271"/>
      <c r="F26" s="271"/>
      <c r="G26" s="271"/>
      <c r="H26" s="271"/>
    </row>
    <row r="27" spans="1:9" ht="15.75" x14ac:dyDescent="0.25">
      <c r="A27" s="1" t="s">
        <v>4</v>
      </c>
      <c r="B27" s="27" t="s">
        <v>31</v>
      </c>
      <c r="C27" s="27"/>
      <c r="D27" s="27"/>
      <c r="G27" s="28"/>
      <c r="H27" s="29">
        <v>1134.1099999999999</v>
      </c>
    </row>
    <row r="28" spans="1:9" ht="15.75" x14ac:dyDescent="0.25">
      <c r="A28" s="1" t="s">
        <v>7</v>
      </c>
      <c r="B28" s="6" t="s">
        <v>32</v>
      </c>
      <c r="C28" s="6"/>
      <c r="D28" s="30"/>
      <c r="E28" s="31">
        <v>0</v>
      </c>
      <c r="H28" s="32"/>
    </row>
    <row r="29" spans="1:9" ht="15.75" x14ac:dyDescent="0.25">
      <c r="A29" s="1" t="s">
        <v>9</v>
      </c>
      <c r="B29" s="6" t="s">
        <v>34</v>
      </c>
      <c r="C29" s="6"/>
      <c r="D29" s="33" t="s">
        <v>35</v>
      </c>
      <c r="E29" s="34" t="s">
        <v>36</v>
      </c>
      <c r="F29" s="33" t="s">
        <v>37</v>
      </c>
      <c r="G29" s="35"/>
      <c r="H29" s="32"/>
    </row>
    <row r="30" spans="1:9" ht="15.75" x14ac:dyDescent="0.25">
      <c r="A30" s="1" t="s">
        <v>17</v>
      </c>
      <c r="B30" s="6" t="s">
        <v>167</v>
      </c>
      <c r="C30" s="6"/>
      <c r="D30" s="33"/>
      <c r="E30" s="34"/>
      <c r="F30" s="33"/>
      <c r="G30" s="35"/>
      <c r="H30" s="32"/>
      <c r="I30">
        <v>40</v>
      </c>
    </row>
    <row r="31" spans="1:9" ht="15.75" x14ac:dyDescent="0.25">
      <c r="A31" s="1" t="s">
        <v>40</v>
      </c>
      <c r="B31" s="6" t="s">
        <v>38</v>
      </c>
      <c r="C31" s="6"/>
      <c r="D31" s="30" t="s">
        <v>39</v>
      </c>
      <c r="E31" s="36">
        <v>0</v>
      </c>
      <c r="F31" s="37">
        <v>954</v>
      </c>
      <c r="G31" s="27"/>
      <c r="H31" s="38"/>
      <c r="I31">
        <v>120</v>
      </c>
    </row>
    <row r="32" spans="1:9"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289" t="s">
        <v>46</v>
      </c>
      <c r="C39" s="289"/>
      <c r="D39" s="289"/>
      <c r="E39" s="289"/>
      <c r="F39" s="289"/>
      <c r="G39" s="289"/>
      <c r="H39" s="289"/>
    </row>
    <row r="40" spans="1:9" ht="15.75" x14ac:dyDescent="0.25">
      <c r="A40" s="124" t="s">
        <v>47</v>
      </c>
      <c r="B40" s="290" t="s">
        <v>48</v>
      </c>
      <c r="C40" s="290"/>
      <c r="D40" s="290"/>
      <c r="E40" s="290"/>
      <c r="F40" s="290"/>
      <c r="G40" s="290"/>
      <c r="H40" s="290"/>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273" t="s">
        <v>53</v>
      </c>
      <c r="C45" s="273"/>
      <c r="D45" s="273"/>
      <c r="E45" s="273"/>
      <c r="F45" s="273"/>
      <c r="G45" s="273"/>
      <c r="H45" s="273"/>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282" t="s">
        <v>56</v>
      </c>
      <c r="E47" s="282"/>
      <c r="F47" s="28"/>
      <c r="G47" s="52">
        <v>1.4999999999999999E-2</v>
      </c>
      <c r="H47" s="28">
        <f>SUM($H$38*G47)</f>
        <v>17.011649999999999</v>
      </c>
      <c r="I47" s="115"/>
    </row>
    <row r="48" spans="1:9" ht="15.75" x14ac:dyDescent="0.25">
      <c r="A48" s="1" t="s">
        <v>9</v>
      </c>
      <c r="B48" s="51" t="s">
        <v>57</v>
      </c>
      <c r="C48" s="51"/>
      <c r="D48" s="282"/>
      <c r="E48" s="282"/>
      <c r="F48" s="28"/>
      <c r="G48" s="52">
        <v>0.01</v>
      </c>
      <c r="H48" s="28">
        <f t="shared" ref="H48" si="0">SUM($H$38*G48)</f>
        <v>11.341099999999999</v>
      </c>
    </row>
    <row r="49" spans="1:13" ht="15.75" x14ac:dyDescent="0.25">
      <c r="A49" s="1" t="s">
        <v>17</v>
      </c>
      <c r="B49" s="51" t="s">
        <v>58</v>
      </c>
      <c r="C49" s="51"/>
      <c r="D49" s="27"/>
      <c r="E49" s="27"/>
      <c r="F49" s="28"/>
      <c r="G49" s="52">
        <v>2E-3</v>
      </c>
      <c r="H49" s="28">
        <f>SUM($H$38*G49)</f>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SUM($H$38*G51)</f>
        <v>90.728799999999993</v>
      </c>
    </row>
    <row r="52" spans="1:13" ht="15.75" x14ac:dyDescent="0.25">
      <c r="A52" s="127" t="s">
        <v>61</v>
      </c>
      <c r="B52" s="128" t="s">
        <v>62</v>
      </c>
      <c r="C52" s="128"/>
      <c r="D52" s="129"/>
      <c r="E52" s="129"/>
      <c r="F52" s="129"/>
      <c r="G52" s="130">
        <v>0.03</v>
      </c>
      <c r="H52" s="131">
        <f>SUM($H$38*G52)</f>
        <v>34.023299999999999</v>
      </c>
    </row>
    <row r="53" spans="1:13" ht="15.75" x14ac:dyDescent="0.25">
      <c r="A53" s="1" t="s">
        <v>43</v>
      </c>
      <c r="B53" s="51" t="s">
        <v>63</v>
      </c>
      <c r="C53" s="51"/>
      <c r="D53" s="27"/>
      <c r="E53" s="27"/>
      <c r="F53" s="28"/>
      <c r="G53" s="52">
        <v>6.0000000000000001E-3</v>
      </c>
      <c r="H53" s="28">
        <f>SUM($H$38*G53)</f>
        <v>6.8046599999999993</v>
      </c>
      <c r="I53" s="121"/>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273" t="s">
        <v>65</v>
      </c>
      <c r="C55" s="273"/>
      <c r="D55" s="273"/>
      <c r="E55" s="273"/>
      <c r="F55" s="273"/>
      <c r="G55" s="273"/>
      <c r="H55" s="273"/>
    </row>
    <row r="56" spans="1:13" ht="15.75" x14ac:dyDescent="0.25">
      <c r="A56" s="6" t="s">
        <v>66</v>
      </c>
      <c r="B56" s="59"/>
      <c r="C56" s="59"/>
      <c r="D56" s="60" t="s">
        <v>67</v>
      </c>
      <c r="E56" s="60" t="s">
        <v>68</v>
      </c>
      <c r="F56" s="60" t="s">
        <v>69</v>
      </c>
      <c r="G56" s="60" t="s">
        <v>70</v>
      </c>
      <c r="H56" s="6"/>
    </row>
    <row r="57" spans="1:13" ht="15.75" x14ac:dyDescent="0.25">
      <c r="A57" s="274" t="s">
        <v>4</v>
      </c>
      <c r="B57" s="6" t="s">
        <v>71</v>
      </c>
      <c r="C57" s="6"/>
      <c r="D57" s="275"/>
      <c r="E57" s="276"/>
      <c r="F57" s="277"/>
      <c r="G57" s="278"/>
      <c r="H57" s="35">
        <f>F57*E57*D57</f>
        <v>0</v>
      </c>
    </row>
    <row r="58" spans="1:13" ht="15.75" x14ac:dyDescent="0.25">
      <c r="A58" s="274"/>
      <c r="B58" s="6" t="s">
        <v>72</v>
      </c>
      <c r="C58" s="6"/>
      <c r="D58" s="275"/>
      <c r="E58" s="275"/>
      <c r="F58" s="275"/>
      <c r="G58" s="275"/>
      <c r="H58" s="35">
        <f>H27*G57</f>
        <v>0</v>
      </c>
    </row>
    <row r="59" spans="1:13" ht="15.75" x14ac:dyDescent="0.25">
      <c r="A59" s="274"/>
      <c r="B59" s="8" t="s">
        <v>73</v>
      </c>
      <c r="C59" s="8"/>
      <c r="D59" s="8"/>
      <c r="E59" s="27"/>
      <c r="F59" s="27"/>
      <c r="G59" s="61"/>
      <c r="H59" s="35">
        <f>H57-H58</f>
        <v>0</v>
      </c>
    </row>
    <row r="60" spans="1:13" ht="15.75" x14ac:dyDescent="0.25">
      <c r="A60" s="274" t="s">
        <v>7</v>
      </c>
      <c r="B60" s="6" t="s">
        <v>74</v>
      </c>
      <c r="C60" s="6"/>
      <c r="D60" s="275">
        <v>1</v>
      </c>
      <c r="E60" s="276">
        <v>1</v>
      </c>
      <c r="F60" s="277">
        <v>0</v>
      </c>
      <c r="G60" s="278">
        <v>0.2</v>
      </c>
      <c r="H60" s="35">
        <f>F60*E60*D60</f>
        <v>0</v>
      </c>
    </row>
    <row r="61" spans="1:13" ht="15.75" x14ac:dyDescent="0.25">
      <c r="A61" s="274"/>
      <c r="B61" s="6" t="s">
        <v>72</v>
      </c>
      <c r="C61" s="6"/>
      <c r="D61" s="275"/>
      <c r="E61" s="275"/>
      <c r="F61" s="275"/>
      <c r="G61" s="275"/>
      <c r="H61" s="35">
        <f>H60*G60</f>
        <v>0</v>
      </c>
    </row>
    <row r="62" spans="1:13" ht="15.75" x14ac:dyDescent="0.25">
      <c r="A62" s="274"/>
      <c r="B62" s="279" t="s">
        <v>75</v>
      </c>
      <c r="C62" s="279"/>
      <c r="D62" s="279"/>
      <c r="E62" s="279"/>
      <c r="F62" s="13"/>
      <c r="G62" s="13"/>
      <c r="H62" s="35">
        <f>H60-H61</f>
        <v>0</v>
      </c>
    </row>
    <row r="63" spans="1:13" ht="15.75" x14ac:dyDescent="0.25">
      <c r="A63" s="62" t="s">
        <v>9</v>
      </c>
      <c r="B63" s="279" t="s">
        <v>76</v>
      </c>
      <c r="C63" s="279"/>
      <c r="D63" s="279"/>
      <c r="E63" s="279"/>
      <c r="F63" s="13"/>
      <c r="G63" s="13"/>
      <c r="H63" s="35">
        <v>0</v>
      </c>
    </row>
    <row r="64" spans="1:13" ht="15.75" x14ac:dyDescent="0.25">
      <c r="A64" s="62" t="s">
        <v>17</v>
      </c>
      <c r="B64" s="117" t="s">
        <v>177</v>
      </c>
      <c r="C64" s="117"/>
      <c r="D64" s="117"/>
      <c r="E64" s="117" t="s">
        <v>163</v>
      </c>
      <c r="F64" s="13"/>
      <c r="G64" s="13"/>
      <c r="H64" s="35">
        <v>100</v>
      </c>
      <c r="J64" s="125"/>
      <c r="K64" s="13"/>
      <c r="L64" s="13"/>
      <c r="M64" s="35"/>
    </row>
    <row r="65" spans="1:13" ht="15.75" x14ac:dyDescent="0.25">
      <c r="A65" s="62" t="s">
        <v>40</v>
      </c>
      <c r="B65" s="116" t="s">
        <v>223</v>
      </c>
      <c r="C65" s="117"/>
      <c r="D65" s="117"/>
      <c r="E65" s="117"/>
      <c r="F65" s="13"/>
      <c r="G65" s="13"/>
      <c r="H65" s="35">
        <v>3.53</v>
      </c>
      <c r="J65" s="149"/>
      <c r="K65" s="13"/>
      <c r="L65" s="13"/>
      <c r="M65" s="35"/>
    </row>
    <row r="66" spans="1:13" ht="15.75" x14ac:dyDescent="0.25">
      <c r="A66" s="62" t="s">
        <v>42</v>
      </c>
      <c r="B66" s="116" t="s">
        <v>78</v>
      </c>
      <c r="C66" s="116"/>
      <c r="D66" s="116"/>
      <c r="E66" s="118">
        <v>0</v>
      </c>
      <c r="H66" s="35">
        <f>(1/12*(H27+H28+H30))*E66</f>
        <v>0</v>
      </c>
    </row>
    <row r="67" spans="1:13" ht="15.75" x14ac:dyDescent="0.25">
      <c r="A67" s="63"/>
      <c r="B67" s="280" t="s">
        <v>45</v>
      </c>
      <c r="C67" s="280"/>
      <c r="D67" s="280"/>
      <c r="E67" s="280"/>
      <c r="F67" s="64"/>
      <c r="G67" s="64"/>
      <c r="H67" s="65">
        <f>H59+H62+H63+H64+H66+H65</f>
        <v>103.53</v>
      </c>
    </row>
    <row r="68" spans="1:13" ht="15.75" x14ac:dyDescent="0.25">
      <c r="A68" s="273" t="s">
        <v>79</v>
      </c>
      <c r="B68" s="273"/>
      <c r="C68" s="273"/>
      <c r="D68" s="273"/>
      <c r="E68" s="273"/>
      <c r="F68" s="273"/>
      <c r="G68" s="273"/>
      <c r="H68" s="273"/>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103.53</v>
      </c>
    </row>
    <row r="72" spans="1:13" ht="15.75" x14ac:dyDescent="0.25">
      <c r="A72" s="63"/>
      <c r="B72" s="126" t="s">
        <v>45</v>
      </c>
      <c r="C72" s="126"/>
      <c r="D72" s="126"/>
      <c r="E72" s="126"/>
      <c r="F72" s="64"/>
      <c r="G72" s="64"/>
      <c r="H72" s="65">
        <f>SUM(H69:H71)</f>
        <v>837.84626466400005</v>
      </c>
    </row>
    <row r="73" spans="1:13" ht="15.75" x14ac:dyDescent="0.25">
      <c r="A73" s="68">
        <v>3</v>
      </c>
      <c r="B73" s="271" t="s">
        <v>83</v>
      </c>
      <c r="C73" s="271"/>
      <c r="D73" s="271"/>
      <c r="E73" s="271"/>
      <c r="F73" s="271"/>
      <c r="G73" s="271"/>
      <c r="H73" s="271"/>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2.0000000000000001E-4</v>
      </c>
      <c r="H76" s="72">
        <f>(ROUND(SUM($H$38*G76),2))</f>
        <v>0.23</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225</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1E-4</v>
      </c>
      <c r="H79" s="28">
        <f>SUM($H$38*G79)</f>
        <v>0.113411</v>
      </c>
    </row>
    <row r="80" spans="1:13" ht="15.75" x14ac:dyDescent="0.25">
      <c r="A80" s="73"/>
      <c r="B80" s="55" t="s">
        <v>45</v>
      </c>
      <c r="C80" s="55"/>
      <c r="D80" s="41"/>
      <c r="E80" s="41"/>
      <c r="F80" s="74"/>
      <c r="G80" s="57">
        <f>SUM(G74:G79)</f>
        <v>3.1375200000000006E-2</v>
      </c>
      <c r="H80" s="58">
        <f>SUM(H74:H79)</f>
        <v>35.586106072</v>
      </c>
    </row>
    <row r="81" spans="1:9" ht="15.75" x14ac:dyDescent="0.25">
      <c r="A81" s="44">
        <v>4</v>
      </c>
      <c r="B81" s="281" t="s">
        <v>90</v>
      </c>
      <c r="C81" s="281"/>
      <c r="D81" s="281"/>
      <c r="E81" s="281"/>
      <c r="F81" s="281"/>
      <c r="G81" s="281"/>
      <c r="H81" s="281"/>
    </row>
    <row r="82" spans="1:9" ht="15.75" x14ac:dyDescent="0.25">
      <c r="A82" s="75" t="s">
        <v>91</v>
      </c>
      <c r="B82" s="273" t="s">
        <v>236</v>
      </c>
      <c r="C82" s="273"/>
      <c r="D82" s="273"/>
      <c r="E82" s="273"/>
      <c r="F82" s="273"/>
      <c r="G82" s="273"/>
      <c r="H82" s="273"/>
    </row>
    <row r="83" spans="1:9" ht="15.75" x14ac:dyDescent="0.25">
      <c r="A83" s="12" t="s">
        <v>4</v>
      </c>
      <c r="B83" s="51" t="s">
        <v>226</v>
      </c>
      <c r="C83" s="51"/>
      <c r="D83" s="53"/>
      <c r="E83" s="53"/>
      <c r="F83" s="53"/>
      <c r="G83" s="45">
        <f>(G41+G42)/12</f>
        <v>1.7024999999999998E-2</v>
      </c>
      <c r="H83" s="28"/>
    </row>
    <row r="84" spans="1:9" ht="15.75" x14ac:dyDescent="0.25">
      <c r="A84" s="123" t="s">
        <v>7</v>
      </c>
      <c r="B84" s="51" t="s">
        <v>227</v>
      </c>
      <c r="C84" s="272" t="s">
        <v>95</v>
      </c>
      <c r="D84" s="76">
        <v>1</v>
      </c>
      <c r="E84" s="272" t="s">
        <v>96</v>
      </c>
      <c r="F84" s="77">
        <v>1</v>
      </c>
      <c r="G84" s="45">
        <f t="shared" ref="G84:G89" si="1">D84/360*F84</f>
        <v>2.7777777777777779E-3</v>
      </c>
      <c r="H84" s="28">
        <f>SUM(H$38*G84)</f>
        <v>3.1503055555555552</v>
      </c>
    </row>
    <row r="85" spans="1:9" ht="15.75" x14ac:dyDescent="0.25">
      <c r="A85" s="12" t="s">
        <v>9</v>
      </c>
      <c r="B85" s="51" t="s">
        <v>228</v>
      </c>
      <c r="C85" s="272"/>
      <c r="D85" s="76">
        <v>20</v>
      </c>
      <c r="E85" s="272"/>
      <c r="F85" s="77">
        <v>1.4999999999999999E-2</v>
      </c>
      <c r="G85" s="45">
        <f t="shared" si="1"/>
        <v>8.3333333333333328E-4</v>
      </c>
      <c r="H85" s="28">
        <f>SUM(H$38*G85)</f>
        <v>0.94509166666666655</v>
      </c>
    </row>
    <row r="86" spans="1:9" ht="15.75" x14ac:dyDescent="0.25">
      <c r="A86" s="12" t="s">
        <v>17</v>
      </c>
      <c r="B86" s="51" t="s">
        <v>229</v>
      </c>
      <c r="C86" s="272"/>
      <c r="D86" s="76">
        <v>15</v>
      </c>
      <c r="E86" s="272"/>
      <c r="F86" s="78">
        <v>1.3299999999999999E-2</v>
      </c>
      <c r="G86" s="45">
        <f t="shared" si="1"/>
        <v>5.5416666666666657E-4</v>
      </c>
      <c r="H86" s="28">
        <f>SUM(H$38*G86)</f>
        <v>0.62848595833333321</v>
      </c>
    </row>
    <row r="87" spans="1:9" ht="15.75" x14ac:dyDescent="0.25">
      <c r="A87" s="12" t="s">
        <v>40</v>
      </c>
      <c r="B87" s="51" t="s">
        <v>230</v>
      </c>
      <c r="C87" s="272"/>
      <c r="D87" s="76">
        <v>180</v>
      </c>
      <c r="E87" s="272"/>
      <c r="F87" s="77">
        <v>1.8599999999999998E-2</v>
      </c>
      <c r="G87" s="45">
        <f t="shared" si="1"/>
        <v>9.2999999999999992E-3</v>
      </c>
      <c r="H87" s="28">
        <f>SUM(H$38*G87)</f>
        <v>10.547222999999999</v>
      </c>
    </row>
    <row r="88" spans="1:9" ht="15.75" x14ac:dyDescent="0.25">
      <c r="A88" s="12" t="s">
        <v>42</v>
      </c>
      <c r="B88" s="51" t="s">
        <v>231</v>
      </c>
      <c r="C88" s="272"/>
      <c r="D88" s="79">
        <v>5</v>
      </c>
      <c r="E88" s="272"/>
      <c r="F88" s="80">
        <v>1</v>
      </c>
      <c r="G88" s="45">
        <f t="shared" si="1"/>
        <v>1.3888888888888888E-2</v>
      </c>
      <c r="H88" s="81">
        <f>SUM(H$38*G88)</f>
        <v>15.751527777777776</v>
      </c>
    </row>
    <row r="89" spans="1:9" ht="15.75" x14ac:dyDescent="0.25">
      <c r="A89" s="12" t="s">
        <v>61</v>
      </c>
      <c r="B89" s="51" t="s">
        <v>101</v>
      </c>
      <c r="C89" s="272"/>
      <c r="D89" s="79"/>
      <c r="E89" s="272"/>
      <c r="F89" s="82"/>
      <c r="G89" s="45">
        <f t="shared" si="1"/>
        <v>0</v>
      </c>
      <c r="H89" s="81"/>
    </row>
    <row r="90" spans="1:9" ht="15.75" x14ac:dyDescent="0.25">
      <c r="A90" s="19"/>
      <c r="B90" s="6" t="s">
        <v>102</v>
      </c>
      <c r="C90" s="6"/>
      <c r="D90" s="27"/>
      <c r="E90" s="27"/>
      <c r="F90" s="28"/>
      <c r="G90" s="45">
        <f>SUM(G83:G89)</f>
        <v>4.4379166666666664E-2</v>
      </c>
      <c r="H90" s="28">
        <f>SUM(H83:H89)</f>
        <v>31.02263395833333</v>
      </c>
      <c r="I90" s="115">
        <f>SUM(H84:H90)*G54</f>
        <v>22.832658593333338</v>
      </c>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273" t="s">
        <v>232</v>
      </c>
      <c r="C93" s="273"/>
      <c r="D93" s="273"/>
      <c r="E93" s="273"/>
      <c r="F93" s="273"/>
      <c r="G93" s="273"/>
      <c r="H93" s="273"/>
    </row>
    <row r="94" spans="1:9" ht="15.75" x14ac:dyDescent="0.25">
      <c r="A94" s="12" t="s">
        <v>4</v>
      </c>
      <c r="B94" s="51" t="s">
        <v>234</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273" t="s">
        <v>108</v>
      </c>
      <c r="B97" s="273"/>
      <c r="C97" s="273"/>
      <c r="D97" s="273"/>
      <c r="E97" s="273"/>
      <c r="F97" s="273"/>
      <c r="G97" s="273"/>
      <c r="H97" s="273"/>
    </row>
    <row r="98" spans="1:10" ht="15.75" x14ac:dyDescent="0.25">
      <c r="A98" s="12" t="s">
        <v>91</v>
      </c>
      <c r="B98" s="51" t="s">
        <v>235</v>
      </c>
      <c r="C98" s="51"/>
      <c r="D98" s="53"/>
      <c r="E98" s="53"/>
      <c r="F98" s="53"/>
      <c r="G98" s="45">
        <f>G92</f>
        <v>6.0710699999999999E-2</v>
      </c>
      <c r="H98" s="28">
        <f>H92</f>
        <v>42.438963254999997</v>
      </c>
    </row>
    <row r="99" spans="1:10" ht="15.75" x14ac:dyDescent="0.25">
      <c r="A99" s="12" t="s">
        <v>104</v>
      </c>
      <c r="B99" s="51" t="s">
        <v>233</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273" t="s">
        <v>110</v>
      </c>
      <c r="C101" s="273"/>
      <c r="D101" s="273"/>
      <c r="E101" s="273"/>
      <c r="F101" s="273"/>
      <c r="G101" s="273"/>
      <c r="H101" s="273"/>
    </row>
    <row r="102" spans="1:10" ht="15.75" x14ac:dyDescent="0.25">
      <c r="A102" s="12" t="s">
        <v>4</v>
      </c>
      <c r="B102" s="13" t="s">
        <v>111</v>
      </c>
      <c r="C102" s="13"/>
      <c r="D102" s="84"/>
      <c r="E102" s="27"/>
      <c r="F102" s="85"/>
      <c r="G102" s="85"/>
      <c r="H102" s="85">
        <v>34.33</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403.32</v>
      </c>
    </row>
    <row r="105" spans="1:10" ht="15.75" x14ac:dyDescent="0.25">
      <c r="A105" s="12" t="s">
        <v>17</v>
      </c>
      <c r="B105" s="13" t="s">
        <v>164</v>
      </c>
      <c r="C105" s="13"/>
      <c r="D105" s="84"/>
      <c r="E105" s="27"/>
      <c r="F105" s="85"/>
      <c r="G105" s="85"/>
      <c r="H105" s="85">
        <v>107.9</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545.54999999999995</v>
      </c>
    </row>
    <row r="108" spans="1:10" ht="15.75" x14ac:dyDescent="0.25">
      <c r="A108" s="83">
        <v>6</v>
      </c>
      <c r="B108" s="273" t="s">
        <v>114</v>
      </c>
      <c r="C108" s="273"/>
      <c r="D108" s="273"/>
      <c r="E108" s="273"/>
      <c r="F108" s="273"/>
      <c r="G108" s="273"/>
      <c r="H108" s="273"/>
    </row>
    <row r="109" spans="1:10" ht="15.75" x14ac:dyDescent="0.25">
      <c r="A109" s="86" t="s">
        <v>4</v>
      </c>
      <c r="B109" s="27"/>
      <c r="C109" s="27"/>
      <c r="D109" s="27"/>
      <c r="E109" s="27"/>
      <c r="F109" s="27" t="s">
        <v>115</v>
      </c>
      <c r="G109" s="52">
        <v>0.01</v>
      </c>
      <c r="H109" s="28">
        <f>G109*H124</f>
        <v>25.955313339909999</v>
      </c>
    </row>
    <row r="110" spans="1:10" ht="15.75" x14ac:dyDescent="0.25">
      <c r="A110" s="86" t="s">
        <v>7</v>
      </c>
      <c r="B110" s="27"/>
      <c r="C110" s="27"/>
      <c r="D110" s="27"/>
      <c r="E110" s="27"/>
      <c r="F110" s="12" t="s">
        <v>116</v>
      </c>
      <c r="G110" s="52">
        <v>0.01</v>
      </c>
      <c r="H110" s="28">
        <f>(H109+H124)*$G$110</f>
        <v>26.214866473309097</v>
      </c>
    </row>
    <row r="111" spans="1:10" ht="15.75" x14ac:dyDescent="0.25">
      <c r="A111" s="86" t="s">
        <v>9</v>
      </c>
      <c r="B111" s="27"/>
      <c r="C111" s="27"/>
      <c r="D111" s="27"/>
      <c r="E111" s="27"/>
      <c r="F111" s="12" t="s">
        <v>117</v>
      </c>
      <c r="G111" s="87">
        <f>SUM(G112:G116)</f>
        <v>8.6499999999999994E-2</v>
      </c>
      <c r="H111" s="28">
        <f>H113+H114+H116</f>
        <v>250.71284175595505</v>
      </c>
    </row>
    <row r="112" spans="1:10" ht="15.75" x14ac:dyDescent="0.25">
      <c r="A112" s="86" t="s">
        <v>118</v>
      </c>
      <c r="B112" s="27"/>
      <c r="C112" s="27"/>
      <c r="D112" s="27"/>
      <c r="E112" s="27"/>
      <c r="F112" s="88" t="s">
        <v>119</v>
      </c>
      <c r="G112" s="45">
        <v>0</v>
      </c>
      <c r="H112" s="28">
        <f>SUM(H$126*$G$112)</f>
        <v>0</v>
      </c>
      <c r="J112" s="120"/>
    </row>
    <row r="113" spans="1:9" ht="15.75" x14ac:dyDescent="0.25">
      <c r="A113" s="86" t="s">
        <v>120</v>
      </c>
      <c r="B113" s="27"/>
      <c r="C113" s="27"/>
      <c r="D113" s="27"/>
      <c r="E113" s="27"/>
      <c r="F113" s="88" t="s">
        <v>121</v>
      </c>
      <c r="G113" s="52">
        <v>6.4999999999999997E-3</v>
      </c>
      <c r="H113" s="28">
        <f>((H109+H110+H124)/0.9135)*G113</f>
        <v>18.839693311141129</v>
      </c>
    </row>
    <row r="114" spans="1:9" ht="15.75" x14ac:dyDescent="0.25">
      <c r="A114" s="86" t="s">
        <v>122</v>
      </c>
      <c r="B114" s="27"/>
      <c r="C114" s="27"/>
      <c r="D114" s="27"/>
      <c r="E114" s="27"/>
      <c r="F114" s="88" t="s">
        <v>123</v>
      </c>
      <c r="G114" s="52">
        <v>0.03</v>
      </c>
      <c r="H114" s="28">
        <f>((H109+H110+H124)/0.9135)*G114</f>
        <v>86.952430666805213</v>
      </c>
    </row>
    <row r="115" spans="1:9" ht="15.75" x14ac:dyDescent="0.25">
      <c r="A115" s="86" t="s">
        <v>124</v>
      </c>
      <c r="B115" s="27"/>
      <c r="C115" s="27"/>
      <c r="D115" s="27"/>
      <c r="E115" s="27"/>
      <c r="F115" s="88" t="s">
        <v>125</v>
      </c>
      <c r="G115" s="45">
        <v>0</v>
      </c>
      <c r="H115" s="28"/>
    </row>
    <row r="116" spans="1:9" ht="15.75" x14ac:dyDescent="0.25">
      <c r="A116" s="86" t="s">
        <v>126</v>
      </c>
      <c r="B116" s="27"/>
      <c r="C116" s="27"/>
      <c r="D116" s="27"/>
      <c r="E116" s="27"/>
      <c r="F116" s="88" t="s">
        <v>127</v>
      </c>
      <c r="G116" s="45">
        <v>0.05</v>
      </c>
      <c r="H116" s="28">
        <f>((H109+H110+H124)/0.9135)*G116</f>
        <v>144.92071777800871</v>
      </c>
    </row>
    <row r="117" spans="1:9" ht="15.75" x14ac:dyDescent="0.25">
      <c r="A117" s="73"/>
      <c r="B117" s="55" t="s">
        <v>45</v>
      </c>
      <c r="C117" s="55"/>
      <c r="D117" s="41"/>
      <c r="E117" s="41"/>
      <c r="F117" s="74"/>
      <c r="G117" s="57">
        <f>G111+G110+G109</f>
        <v>0.10649999999999998</v>
      </c>
      <c r="H117" s="58">
        <f>H109+H110+H111</f>
        <v>302.88302156917416</v>
      </c>
    </row>
    <row r="118" spans="1:9" ht="15.75" x14ac:dyDescent="0.25">
      <c r="A118" s="89"/>
      <c r="B118" s="271" t="s">
        <v>128</v>
      </c>
      <c r="C118" s="271"/>
      <c r="D118" s="271"/>
      <c r="E118" s="271"/>
      <c r="F118" s="271"/>
      <c r="G118" s="271"/>
      <c r="H118" s="271"/>
    </row>
    <row r="119" spans="1:9" ht="15.75" x14ac:dyDescent="0.25">
      <c r="A119" s="90" t="s">
        <v>4</v>
      </c>
      <c r="B119" s="27" t="s">
        <v>30</v>
      </c>
      <c r="C119" s="27"/>
      <c r="D119" s="27"/>
      <c r="E119" s="27"/>
      <c r="F119" s="28"/>
      <c r="G119" s="45">
        <f>SUM(H119/H$126)</f>
        <v>0.39128635897913616</v>
      </c>
      <c r="H119" s="28">
        <f>H38</f>
        <v>1134.1099999999999</v>
      </c>
    </row>
    <row r="120" spans="1:9" ht="15.75" x14ac:dyDescent="0.25">
      <c r="A120" s="90" t="s">
        <v>7</v>
      </c>
      <c r="B120" s="27" t="s">
        <v>129</v>
      </c>
      <c r="C120" s="27"/>
      <c r="D120" s="27"/>
      <c r="E120" s="27"/>
      <c r="F120" s="28"/>
      <c r="G120" s="45">
        <f>SUM(H120/H$126)</f>
        <v>0.28907056130767411</v>
      </c>
      <c r="H120" s="28">
        <f>H72</f>
        <v>837.84626466400005</v>
      </c>
    </row>
    <row r="121" spans="1:9" ht="15.75" x14ac:dyDescent="0.25">
      <c r="A121" s="90" t="s">
        <v>9</v>
      </c>
      <c r="B121" s="27" t="s">
        <v>130</v>
      </c>
      <c r="C121" s="27"/>
      <c r="D121" s="27"/>
      <c r="E121" s="27"/>
      <c r="F121" s="28"/>
      <c r="G121" s="45">
        <f>SUM(H121/H$126)</f>
        <v>1.2277784231827786E-2</v>
      </c>
      <c r="H121" s="28">
        <f>H80</f>
        <v>35.586106072</v>
      </c>
      <c r="I121" s="115">
        <f>H109+H110+H124</f>
        <v>2647.7015138042188</v>
      </c>
    </row>
    <row r="122" spans="1:9" ht="15.75" x14ac:dyDescent="0.25">
      <c r="A122" s="90" t="s">
        <v>17</v>
      </c>
      <c r="B122" s="27" t="s">
        <v>131</v>
      </c>
      <c r="C122" s="27"/>
      <c r="D122" s="27"/>
      <c r="E122" s="27"/>
      <c r="F122" s="28"/>
      <c r="G122" s="45">
        <f>SUM(H122/H$126)</f>
        <v>1.4642131196178765E-2</v>
      </c>
      <c r="H122" s="28">
        <f>H100</f>
        <v>42.438963254999997</v>
      </c>
      <c r="I122" s="115">
        <f>I121/0.9135</f>
        <v>2898.414355560174</v>
      </c>
    </row>
    <row r="123" spans="1:9" ht="15.75" x14ac:dyDescent="0.25">
      <c r="A123" s="90" t="s">
        <v>40</v>
      </c>
      <c r="B123" s="27" t="s">
        <v>110</v>
      </c>
      <c r="C123" s="27"/>
      <c r="D123" s="27"/>
      <c r="E123" s="27"/>
      <c r="F123" s="28"/>
      <c r="G123" s="45">
        <f>H123/H126</f>
        <v>0.18822360541840538</v>
      </c>
      <c r="H123" s="28">
        <f>H107</f>
        <v>545.54999999999995</v>
      </c>
    </row>
    <row r="124" spans="1:9" ht="15.75" x14ac:dyDescent="0.25">
      <c r="A124" s="90"/>
      <c r="B124" s="27" t="s">
        <v>132</v>
      </c>
      <c r="C124" s="27"/>
      <c r="D124" s="27"/>
      <c r="E124" s="27"/>
      <c r="F124" s="28"/>
      <c r="G124" s="45">
        <f>SUM(G119:G123)</f>
        <v>0.89550044113322214</v>
      </c>
      <c r="H124" s="28">
        <f>SUM(H119:H123)</f>
        <v>2595.5313339909999</v>
      </c>
    </row>
    <row r="125" spans="1:9" ht="15.75" x14ac:dyDescent="0.25">
      <c r="A125" s="90" t="s">
        <v>40</v>
      </c>
      <c r="B125" s="27" t="s">
        <v>133</v>
      </c>
      <c r="C125" s="27"/>
      <c r="D125" s="27"/>
      <c r="E125" s="27"/>
      <c r="F125" s="28"/>
      <c r="G125" s="45">
        <f>SUM(H125/H$126)</f>
        <v>0.10449955886677777</v>
      </c>
      <c r="H125" s="28">
        <f>H117</f>
        <v>302.88302156917416</v>
      </c>
    </row>
    <row r="126" spans="1:9" ht="15.75" x14ac:dyDescent="0.25">
      <c r="A126" s="55"/>
      <c r="B126" s="55" t="s">
        <v>134</v>
      </c>
      <c r="C126" s="55"/>
      <c r="D126" s="55"/>
      <c r="E126" s="55"/>
      <c r="F126" s="55"/>
      <c r="G126" s="55">
        <f>SUM(G124+G125)</f>
        <v>0.99999999999999989</v>
      </c>
      <c r="H126" s="91">
        <f>H125+H124</f>
        <v>2898.414355560174</v>
      </c>
    </row>
    <row r="127" spans="1:9" ht="15.75" x14ac:dyDescent="0.25">
      <c r="A127" s="92"/>
      <c r="B127" s="271" t="s">
        <v>135</v>
      </c>
      <c r="C127" s="271"/>
      <c r="D127" s="271"/>
      <c r="E127" s="271"/>
      <c r="F127" s="271"/>
      <c r="G127" s="271"/>
      <c r="H127" s="271"/>
    </row>
    <row r="128" spans="1:9"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2898.414355560174</v>
      </c>
      <c r="E130" s="100">
        <v>3</v>
      </c>
      <c r="F130" s="99">
        <f>D130*E130</f>
        <v>8695.243066680523</v>
      </c>
      <c r="G130" s="101">
        <v>1</v>
      </c>
      <c r="H130" s="28">
        <f>E130*D130</f>
        <v>8695.243066680523</v>
      </c>
    </row>
    <row r="131" spans="1:8" ht="15.75" x14ac:dyDescent="0.25">
      <c r="A131" s="27"/>
      <c r="B131" s="102" t="s">
        <v>147</v>
      </c>
      <c r="C131" s="102"/>
      <c r="D131" s="103"/>
      <c r="E131" s="103"/>
      <c r="F131" s="103"/>
      <c r="G131" s="103"/>
      <c r="H131" s="104">
        <f>SUM(H130)</f>
        <v>8695.243066680523</v>
      </c>
    </row>
    <row r="132" spans="1:8" ht="15.75" x14ac:dyDescent="0.25">
      <c r="A132" s="27"/>
      <c r="B132" s="16"/>
      <c r="C132" s="16"/>
      <c r="D132" s="105"/>
      <c r="E132" s="16"/>
      <c r="F132" s="16"/>
      <c r="G132" s="16"/>
      <c r="H132" s="16"/>
    </row>
    <row r="133" spans="1:8" ht="15.75" x14ac:dyDescent="0.25">
      <c r="A133" s="83"/>
      <c r="B133" s="271" t="s">
        <v>148</v>
      </c>
      <c r="C133" s="271"/>
      <c r="D133" s="271"/>
      <c r="E133" s="271"/>
      <c r="F133" s="271"/>
      <c r="G133" s="271"/>
      <c r="H133" s="271"/>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2898.414355560174</v>
      </c>
    </row>
    <row r="136" spans="1:8" ht="15.75" x14ac:dyDescent="0.25">
      <c r="A136" s="108" t="s">
        <v>7</v>
      </c>
      <c r="B136" s="109" t="s">
        <v>152</v>
      </c>
      <c r="C136" s="109"/>
      <c r="D136" s="109"/>
      <c r="E136" s="13"/>
      <c r="F136" s="13"/>
      <c r="G136" s="13"/>
      <c r="H136" s="107">
        <f>H131</f>
        <v>8695.243066680523</v>
      </c>
    </row>
    <row r="137" spans="1:8" ht="15.75" x14ac:dyDescent="0.25">
      <c r="A137" s="108" t="s">
        <v>17</v>
      </c>
      <c r="B137" s="7" t="s">
        <v>153</v>
      </c>
      <c r="C137" s="7"/>
      <c r="D137" s="109"/>
      <c r="E137" s="13"/>
      <c r="F137" s="13"/>
      <c r="G137" s="100">
        <v>12</v>
      </c>
      <c r="H137" s="107">
        <f>SUM(H136*G137)</f>
        <v>104342.91680016628</v>
      </c>
    </row>
    <row r="138" spans="1:8" ht="15.75" x14ac:dyDescent="0.25">
      <c r="A138" s="6"/>
      <c r="B138" s="6"/>
      <c r="C138" s="6"/>
      <c r="D138" s="6"/>
      <c r="E138" s="6"/>
      <c r="F138" s="6"/>
      <c r="G138" s="6"/>
      <c r="H138" s="6"/>
    </row>
    <row r="141" spans="1:8" x14ac:dyDescent="0.25">
      <c r="A141" s="150" t="s">
        <v>203</v>
      </c>
      <c r="B141" s="150"/>
    </row>
    <row r="142" spans="1:8" x14ac:dyDescent="0.25">
      <c r="A142" s="150" t="s">
        <v>204</v>
      </c>
      <c r="B142" s="150"/>
    </row>
    <row r="143" spans="1:8" x14ac:dyDescent="0.25">
      <c r="A143" s="150" t="s">
        <v>205</v>
      </c>
      <c r="B143" s="150"/>
    </row>
    <row r="144" spans="1:8" x14ac:dyDescent="0.25">
      <c r="A144" s="150"/>
      <c r="B144" s="150"/>
    </row>
    <row r="145" spans="1:6" x14ac:dyDescent="0.25">
      <c r="A145" s="150" t="s">
        <v>206</v>
      </c>
      <c r="B145" s="150"/>
    </row>
    <row r="147" spans="1:6" x14ac:dyDescent="0.25">
      <c r="A147" t="s">
        <v>207</v>
      </c>
    </row>
    <row r="148" spans="1:6" x14ac:dyDescent="0.25">
      <c r="A148" s="150" t="s">
        <v>208</v>
      </c>
    </row>
    <row r="149" spans="1:6" x14ac:dyDescent="0.25">
      <c r="A149" s="150" t="s">
        <v>209</v>
      </c>
    </row>
    <row r="150" spans="1:6" x14ac:dyDescent="0.25">
      <c r="A150" s="150"/>
    </row>
    <row r="151" spans="1:6" x14ac:dyDescent="0.25">
      <c r="A151" s="150" t="s">
        <v>210</v>
      </c>
    </row>
    <row r="152" spans="1:6" x14ac:dyDescent="0.25">
      <c r="A152" s="150"/>
    </row>
    <row r="153" spans="1:6" x14ac:dyDescent="0.25">
      <c r="A153" s="150" t="s">
        <v>211</v>
      </c>
    </row>
    <row r="154" spans="1:6" x14ac:dyDescent="0.25">
      <c r="A154" s="150" t="s">
        <v>212</v>
      </c>
    </row>
    <row r="155" spans="1:6" x14ac:dyDescent="0.25">
      <c r="A155" s="150"/>
    </row>
    <row r="156" spans="1:6" x14ac:dyDescent="0.25">
      <c r="A156" s="150" t="s">
        <v>206</v>
      </c>
    </row>
    <row r="157" spans="1:6" x14ac:dyDescent="0.25">
      <c r="A157" s="150" t="s">
        <v>222</v>
      </c>
    </row>
    <row r="158" spans="1:6" x14ac:dyDescent="0.25">
      <c r="B158" s="151" t="s">
        <v>213</v>
      </c>
      <c r="C158" s="152"/>
      <c r="D158" s="152"/>
      <c r="E158" s="152"/>
      <c r="F158" s="152"/>
    </row>
    <row r="159" spans="1:6" x14ac:dyDescent="0.25">
      <c r="B159" s="151"/>
      <c r="C159" s="152"/>
      <c r="D159" s="152"/>
      <c r="E159" s="152"/>
      <c r="F159" s="152"/>
    </row>
    <row r="160" spans="1:6" x14ac:dyDescent="0.25">
      <c r="B160" s="151" t="s">
        <v>214</v>
      </c>
      <c r="C160" s="152" t="s">
        <v>215</v>
      </c>
      <c r="D160" s="152" t="s">
        <v>216</v>
      </c>
      <c r="E160" s="152" t="s">
        <v>217</v>
      </c>
      <c r="F160" s="152" t="s">
        <v>218</v>
      </c>
    </row>
    <row r="161" spans="1:6" x14ac:dyDescent="0.25">
      <c r="B161" s="151" t="s">
        <v>219</v>
      </c>
      <c r="C161" s="153">
        <v>1.6500000000000001E-2</v>
      </c>
      <c r="D161" s="153">
        <v>7.5999999999999998E-2</v>
      </c>
      <c r="E161" s="154">
        <v>0.05</v>
      </c>
      <c r="F161" s="152">
        <v>0.85750000000000004</v>
      </c>
    </row>
    <row r="162" spans="1:6" x14ac:dyDescent="0.25">
      <c r="B162" s="151" t="s">
        <v>220</v>
      </c>
      <c r="C162" s="153">
        <v>6.4999999999999997E-3</v>
      </c>
      <c r="D162" s="154">
        <v>0.03</v>
      </c>
      <c r="E162" s="154">
        <v>0.05</v>
      </c>
      <c r="F162" s="152">
        <v>0.91349999999999998</v>
      </c>
    </row>
    <row r="163" spans="1:6" x14ac:dyDescent="0.25">
      <c r="B163" s="151" t="s">
        <v>221</v>
      </c>
      <c r="C163" s="153">
        <v>4.4000000000000003E-3</v>
      </c>
      <c r="D163" s="153">
        <v>2.35E-2</v>
      </c>
      <c r="E163" s="154">
        <v>0.05</v>
      </c>
      <c r="F163" s="152">
        <v>0.92210000000000003</v>
      </c>
    </row>
    <row r="165" spans="1:6" x14ac:dyDescent="0.25">
      <c r="A165" s="156" t="s">
        <v>224</v>
      </c>
    </row>
  </sheetData>
  <mergeCells count="51">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1">
      <formula1>$J$28:$J$31</formula1>
      <formula2>0</formula2>
    </dataValidation>
    <dataValidation type="list" operator="equal" allowBlank="1" showErrorMessage="1" promptTitle="Percentual" sqref="E31">
      <formula1>$K$28:$K$31</formula1>
      <formula2>0</formula2>
    </dataValidation>
  </dataValidations>
  <pageMargins left="0.7" right="0.7" top="0.75" bottom="0.75" header="0.3" footer="0.3"/>
  <pageSetup scale="45"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17</vt:i4>
      </vt:variant>
      <vt:variant>
        <vt:lpstr>Intervalos nomeados</vt:lpstr>
      </vt:variant>
      <vt:variant>
        <vt:i4>3</vt:i4>
      </vt:variant>
    </vt:vector>
  </HeadingPairs>
  <TitlesOfParts>
    <vt:vector size="20" baseType="lpstr">
      <vt:lpstr>ENCARREGADO</vt:lpstr>
      <vt:lpstr>ASG ANGICOS</vt:lpstr>
      <vt:lpstr>ALD ANGICOS</vt:lpstr>
      <vt:lpstr>JARDINEIRO ANGICOS</vt:lpstr>
      <vt:lpstr>ENCARREGADO ANGICOS</vt:lpstr>
      <vt:lpstr>COPEIRA ANGICOS</vt:lpstr>
      <vt:lpstr>ASG CARAÚBAS</vt:lpstr>
      <vt:lpstr>ALD CARAÚBAS</vt:lpstr>
      <vt:lpstr>JARDINEIRO CARAÚBAS</vt:lpstr>
      <vt:lpstr>ENCARREGADO CARAÚBAS</vt:lpstr>
      <vt:lpstr>COPEIRA CARAÚBAS</vt:lpstr>
      <vt:lpstr>ASG_ANGICOS</vt:lpstr>
      <vt:lpstr>ALD_ANGICOS</vt:lpstr>
      <vt:lpstr>COPEIRA_ANGICOS</vt:lpstr>
      <vt:lpstr>ENCARREGADO_ANGICOS</vt:lpstr>
      <vt:lpstr>JARDINEIRO_ANGICOS</vt:lpstr>
      <vt:lpstr>RESUMO</vt:lpstr>
      <vt:lpstr>'ALD ANGICOS'!Com_Insalubridade</vt:lpstr>
      <vt:lpstr>'ALD CARAÚBAS'!Com_Insalubridade</vt:lpstr>
      <vt:lpstr>ALD_ANGICOS!Com_Insalubridade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2021-04-15T16:07:07Z</dcterms:modified>
</cp:coreProperties>
</file>