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drawings/drawing6.xml" ContentType="application/vnd.openxmlformats-officedocument.drawing+xml"/>
  <Override PartName="/xl/comments6.xml" ContentType="application/vnd.openxmlformats-officedocument.spreadsheetml.comments+xml"/>
  <Override PartName="/xl/drawings/drawing7.xml" ContentType="application/vnd.openxmlformats-officedocument.drawing+xml"/>
  <Override PartName="/xl/comments7.xml" ContentType="application/vnd.openxmlformats-officedocument.spreadsheetml.comments+xml"/>
  <Override PartName="/xl/drawings/drawing8.xml" ContentType="application/vnd.openxmlformats-officedocument.drawing+xml"/>
  <Override PartName="/xl/comments8.xml" ContentType="application/vnd.openxmlformats-officedocument.spreadsheetml.comments+xml"/>
  <Override PartName="/xl/drawings/drawing9.xml" ContentType="application/vnd.openxmlformats-officedocument.drawing+xml"/>
  <Override PartName="/xl/comments9.xml" ContentType="application/vnd.openxmlformats-officedocument.spreadsheetml.comments+xml"/>
  <Override PartName="/xl/drawings/drawing10.xml" ContentType="application/vnd.openxmlformats-officedocument.drawing+xml"/>
  <Override PartName="/xl/comments10.xml" ContentType="application/vnd.openxmlformats-officedocument.spreadsheetml.comments+xml"/>
  <Override PartName="/xl/drawings/drawing11.xml" ContentType="application/vnd.openxmlformats-officedocument.drawing+xml"/>
  <Override PartName="/xl/comments11.xml" ContentType="application/vnd.openxmlformats-officedocument.spreadsheetml.comments+xml"/>
  <Override PartName="/xl/drawings/drawing12.xml" ContentType="application/vnd.openxmlformats-officedocument.drawing+xml"/>
  <Override PartName="/xl/comments12.xml" ContentType="application/vnd.openxmlformats-officedocument.spreadsheetml.comments+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0" windowWidth="20460" windowHeight="7455" tabRatio="874" firstSheet="11" activeTab="16"/>
  </bookViews>
  <sheets>
    <sheet name="ENCARREGADO" sheetId="6" state="hidden" r:id="rId1"/>
    <sheet name="ASG ANGICOS" sheetId="28" state="hidden" r:id="rId2"/>
    <sheet name="ALD ANGICOS" sheetId="29" state="hidden" r:id="rId3"/>
    <sheet name="JARDINEIRO ANGICOS" sheetId="30" state="hidden" r:id="rId4"/>
    <sheet name="ENCARREGADO ANGICOS" sheetId="31" state="hidden" r:id="rId5"/>
    <sheet name="COPEIRA ANGICOS" sheetId="32" state="hidden" r:id="rId6"/>
    <sheet name="ASG CARAÚBAS" sheetId="33" state="hidden" r:id="rId7"/>
    <sheet name="ALD CARAÚBAS" sheetId="34" state="hidden" r:id="rId8"/>
    <sheet name="JARDINEIRO CARAÚBAS" sheetId="35" state="hidden" r:id="rId9"/>
    <sheet name="ENCARREGADO CARAÚBAS" sheetId="36" state="hidden" r:id="rId10"/>
    <sheet name="COPEIRA CARAÚBAS" sheetId="37" state="hidden" r:id="rId11"/>
    <sheet name="ASG PAU DOS FERROS" sheetId="38" r:id="rId12"/>
    <sheet name="ALD PAU DOS FERROS" sheetId="39" r:id="rId13"/>
    <sheet name="COPEIRA PAU DOS FERROS" sheetId="42" r:id="rId14"/>
    <sheet name="ENCARREGADO PAU DOS FERROS" sheetId="41" r:id="rId15"/>
    <sheet name="JARDINEIRO PAU DOS FERROS" sheetId="40" r:id="rId16"/>
    <sheet name="RESUMO" sheetId="43" r:id="rId17"/>
  </sheets>
  <definedNames>
    <definedName name="Com_Insalubridade" localSheetId="2">'ALD ANGICOS'!$D$30</definedName>
    <definedName name="Com_Insalubridade" localSheetId="7">'ALD CARAÚBAS'!$D$30</definedName>
    <definedName name="Com_Insalubridade" localSheetId="12">'ALD PAU DOS FERROS'!$D$30</definedName>
  </definedNames>
  <calcPr calcId="14562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27" i="40" l="1"/>
  <c r="H27" i="41"/>
  <c r="H27" i="42"/>
  <c r="H27" i="39"/>
  <c r="H27" i="38"/>
  <c r="E22" i="43" l="1"/>
  <c r="E21" i="43"/>
  <c r="E20" i="43"/>
  <c r="E19" i="43"/>
  <c r="E18" i="43"/>
  <c r="G74" i="42" l="1"/>
  <c r="G43" i="42"/>
  <c r="G74" i="41"/>
  <c r="G43" i="41"/>
  <c r="G74" i="40"/>
  <c r="G43" i="40"/>
  <c r="G73" i="39"/>
  <c r="G42" i="39"/>
  <c r="G73" i="38"/>
  <c r="G42" i="38" l="1"/>
  <c r="G79" i="42" l="1"/>
  <c r="G76" i="42"/>
  <c r="G79" i="41"/>
  <c r="G76" i="41"/>
  <c r="G79" i="40"/>
  <c r="G76" i="40"/>
  <c r="G78" i="39"/>
  <c r="G75" i="39"/>
  <c r="H29" i="39"/>
  <c r="G78" i="38" l="1"/>
  <c r="G75" i="38"/>
  <c r="I73" i="28" l="1"/>
  <c r="F31" i="29" l="1"/>
  <c r="H29" i="29" s="1"/>
  <c r="E10" i="43" l="1"/>
  <c r="E14" i="43"/>
  <c r="E13" i="43"/>
  <c r="E12" i="43"/>
  <c r="E11" i="43"/>
  <c r="E7" i="43"/>
  <c r="E6" i="43"/>
  <c r="E5" i="43"/>
  <c r="E4" i="43"/>
  <c r="E3" i="43"/>
  <c r="G111" i="42" l="1"/>
  <c r="G117" i="42" s="1"/>
  <c r="H107" i="42"/>
  <c r="H123" i="42" s="1"/>
  <c r="G89" i="42"/>
  <c r="G88" i="42"/>
  <c r="G86" i="42"/>
  <c r="G85" i="42"/>
  <c r="G84" i="42"/>
  <c r="G75" i="42"/>
  <c r="H60" i="42"/>
  <c r="H58" i="42"/>
  <c r="H57" i="42"/>
  <c r="G54" i="42"/>
  <c r="G95" i="42" s="1"/>
  <c r="G96" i="42" s="1"/>
  <c r="H38" i="42"/>
  <c r="H43" i="42" s="1"/>
  <c r="G111" i="41"/>
  <c r="G117" i="41" s="1"/>
  <c r="H107" i="41"/>
  <c r="H123" i="41" s="1"/>
  <c r="G89" i="41"/>
  <c r="G88" i="41"/>
  <c r="G86" i="41"/>
  <c r="G85" i="41"/>
  <c r="G84" i="41"/>
  <c r="G75" i="41"/>
  <c r="H60" i="41"/>
  <c r="H58" i="41"/>
  <c r="H57" i="41"/>
  <c r="G54" i="41"/>
  <c r="G95" i="41" s="1"/>
  <c r="G96" i="41" s="1"/>
  <c r="H38" i="41"/>
  <c r="H43" i="41" s="1"/>
  <c r="G111" i="40"/>
  <c r="G117" i="40" s="1"/>
  <c r="H107" i="40"/>
  <c r="H123" i="40" s="1"/>
  <c r="G89" i="40"/>
  <c r="G88" i="40"/>
  <c r="G86" i="40"/>
  <c r="G85" i="40"/>
  <c r="G84" i="40"/>
  <c r="G75" i="40"/>
  <c r="H60" i="40"/>
  <c r="H61" i="40" s="1"/>
  <c r="H62" i="40" s="1"/>
  <c r="H58" i="40"/>
  <c r="H57" i="40"/>
  <c r="G54" i="40"/>
  <c r="G95" i="40" s="1"/>
  <c r="G96" i="40" s="1"/>
  <c r="H38" i="40"/>
  <c r="H43" i="40" s="1"/>
  <c r="G110" i="39"/>
  <c r="G116" i="39" s="1"/>
  <c r="H106" i="39"/>
  <c r="H122" i="39" s="1"/>
  <c r="G88" i="39"/>
  <c r="G87" i="39"/>
  <c r="G85" i="39"/>
  <c r="G84" i="39"/>
  <c r="G83" i="39"/>
  <c r="G74" i="39"/>
  <c r="H59" i="39"/>
  <c r="H60" i="39" s="1"/>
  <c r="H61" i="39" s="1"/>
  <c r="H57" i="39"/>
  <c r="H56" i="39"/>
  <c r="G53" i="39"/>
  <c r="G94" i="39" s="1"/>
  <c r="G95" i="39" s="1"/>
  <c r="H28" i="39"/>
  <c r="G110" i="38"/>
  <c r="G116" i="38" s="1"/>
  <c r="H106" i="38"/>
  <c r="H122" i="38" s="1"/>
  <c r="G88" i="38"/>
  <c r="G85" i="38"/>
  <c r="G84" i="38"/>
  <c r="G83" i="38"/>
  <c r="G74" i="38"/>
  <c r="H59" i="38"/>
  <c r="H57" i="38"/>
  <c r="H56" i="38"/>
  <c r="G53" i="38"/>
  <c r="H29" i="38"/>
  <c r="H28" i="38"/>
  <c r="G111" i="37"/>
  <c r="G117" i="37" s="1"/>
  <c r="H107" i="37"/>
  <c r="H123" i="37" s="1"/>
  <c r="G89" i="37"/>
  <c r="G88" i="37"/>
  <c r="G87" i="37"/>
  <c r="G86" i="37"/>
  <c r="G85" i="37"/>
  <c r="G84" i="37"/>
  <c r="G83" i="37"/>
  <c r="G75" i="37"/>
  <c r="H66" i="37"/>
  <c r="H60" i="37"/>
  <c r="H58" i="37"/>
  <c r="H57" i="37"/>
  <c r="H59" i="37" s="1"/>
  <c r="G54" i="37"/>
  <c r="G95" i="37" s="1"/>
  <c r="G96" i="37" s="1"/>
  <c r="H38" i="37"/>
  <c r="G111" i="36"/>
  <c r="G117" i="36" s="1"/>
  <c r="H107" i="36"/>
  <c r="H123" i="36" s="1"/>
  <c r="G89" i="36"/>
  <c r="G88" i="36"/>
  <c r="G87" i="36"/>
  <c r="G86" i="36"/>
  <c r="G85" i="36"/>
  <c r="G84" i="36"/>
  <c r="G83" i="36"/>
  <c r="G75" i="36"/>
  <c r="H66" i="36"/>
  <c r="H60" i="36"/>
  <c r="H58" i="36"/>
  <c r="H57" i="36"/>
  <c r="H59" i="36" s="1"/>
  <c r="G54" i="36"/>
  <c r="G95" i="36" s="1"/>
  <c r="G96" i="36" s="1"/>
  <c r="H38" i="36"/>
  <c r="G111" i="35"/>
  <c r="G117" i="35" s="1"/>
  <c r="H107" i="35"/>
  <c r="H123" i="35" s="1"/>
  <c r="G89" i="35"/>
  <c r="G88" i="35"/>
  <c r="G87" i="35"/>
  <c r="G86" i="35"/>
  <c r="G85" i="35"/>
  <c r="G84" i="35"/>
  <c r="G83" i="35"/>
  <c r="G75" i="35"/>
  <c r="H66" i="35"/>
  <c r="H60" i="35"/>
  <c r="H58" i="35"/>
  <c r="H57" i="35"/>
  <c r="G54" i="35"/>
  <c r="G95" i="35" s="1"/>
  <c r="H42" i="35"/>
  <c r="H38" i="35"/>
  <c r="H51" i="35" s="1"/>
  <c r="G110" i="34"/>
  <c r="G116" i="34" s="1"/>
  <c r="H106" i="34"/>
  <c r="H122" i="34" s="1"/>
  <c r="G88" i="34"/>
  <c r="G87" i="34"/>
  <c r="G86" i="34"/>
  <c r="G85" i="34"/>
  <c r="G84" i="34"/>
  <c r="G83" i="34"/>
  <c r="G82" i="34"/>
  <c r="G74" i="34"/>
  <c r="H65" i="34"/>
  <c r="H59" i="34"/>
  <c r="H60" i="34" s="1"/>
  <c r="H61" i="34" s="1"/>
  <c r="H57" i="34"/>
  <c r="H56" i="34"/>
  <c r="G53" i="34"/>
  <c r="G94" i="34" s="1"/>
  <c r="G95" i="34" s="1"/>
  <c r="H29" i="34"/>
  <c r="H28" i="34"/>
  <c r="H37" i="34" s="1"/>
  <c r="G110" i="33"/>
  <c r="G116" i="33" s="1"/>
  <c r="H106" i="33"/>
  <c r="H122" i="33" s="1"/>
  <c r="G88" i="33"/>
  <c r="G87" i="33"/>
  <c r="G86" i="33"/>
  <c r="G85" i="33"/>
  <c r="G84" i="33"/>
  <c r="G83" i="33"/>
  <c r="G82" i="33"/>
  <c r="G74" i="33"/>
  <c r="H65" i="33"/>
  <c r="H59" i="33"/>
  <c r="H60" i="33" s="1"/>
  <c r="H57" i="33"/>
  <c r="H56" i="33"/>
  <c r="G53" i="33"/>
  <c r="G94" i="33" s="1"/>
  <c r="G95" i="33" s="1"/>
  <c r="J35" i="33"/>
  <c r="H29" i="33"/>
  <c r="H28" i="33"/>
  <c r="H37" i="33" s="1"/>
  <c r="G111" i="32"/>
  <c r="G117" i="32" s="1"/>
  <c r="H107" i="32"/>
  <c r="H123" i="32" s="1"/>
  <c r="G89" i="32"/>
  <c r="G88" i="32"/>
  <c r="G87" i="32"/>
  <c r="G86" i="32"/>
  <c r="G85" i="32"/>
  <c r="G84" i="32"/>
  <c r="G83" i="32"/>
  <c r="G75" i="32"/>
  <c r="H66" i="32"/>
  <c r="H60" i="32"/>
  <c r="H61" i="32" s="1"/>
  <c r="H62" i="32" s="1"/>
  <c r="H58" i="32"/>
  <c r="H57" i="32"/>
  <c r="G54" i="32"/>
  <c r="G78" i="32" s="1"/>
  <c r="H46" i="32"/>
  <c r="H38" i="32"/>
  <c r="H51" i="32" s="1"/>
  <c r="G111" i="31"/>
  <c r="G117" i="31" s="1"/>
  <c r="H107" i="31"/>
  <c r="H123" i="31" s="1"/>
  <c r="G89" i="31"/>
  <c r="G88" i="31"/>
  <c r="G87" i="31"/>
  <c r="G86" i="31"/>
  <c r="G85" i="31"/>
  <c r="G84" i="31"/>
  <c r="G83" i="31"/>
  <c r="G75" i="31"/>
  <c r="H66" i="31"/>
  <c r="H60" i="31"/>
  <c r="H58" i="31"/>
  <c r="H57" i="31"/>
  <c r="G54" i="31"/>
  <c r="G95" i="31" s="1"/>
  <c r="G96" i="31" s="1"/>
  <c r="H38" i="31"/>
  <c r="H47" i="31" s="1"/>
  <c r="G111" i="30"/>
  <c r="G117" i="30" s="1"/>
  <c r="H107" i="30"/>
  <c r="H123" i="30" s="1"/>
  <c r="G89" i="30"/>
  <c r="G88" i="30"/>
  <c r="G87" i="30"/>
  <c r="G86" i="30"/>
  <c r="G85" i="30"/>
  <c r="G84" i="30"/>
  <c r="G83" i="30"/>
  <c r="G75" i="30"/>
  <c r="H66" i="30"/>
  <c r="H60" i="30"/>
  <c r="H61" i="30" s="1"/>
  <c r="H62" i="30" s="1"/>
  <c r="H58" i="30"/>
  <c r="H57" i="30"/>
  <c r="G54" i="30"/>
  <c r="G95" i="30" s="1"/>
  <c r="G96" i="30" s="1"/>
  <c r="H38" i="30"/>
  <c r="H46" i="30" s="1"/>
  <c r="G110" i="29"/>
  <c r="G116" i="29" s="1"/>
  <c r="H106" i="29"/>
  <c r="H122" i="29" s="1"/>
  <c r="G88" i="29"/>
  <c r="G87" i="29"/>
  <c r="G86" i="29"/>
  <c r="G85" i="29"/>
  <c r="G84" i="29"/>
  <c r="G83" i="29"/>
  <c r="G82" i="29"/>
  <c r="G74" i="29"/>
  <c r="H65" i="29"/>
  <c r="H59" i="29"/>
  <c r="H57" i="29"/>
  <c r="H56" i="29"/>
  <c r="G53" i="29"/>
  <c r="G94" i="29" s="1"/>
  <c r="G95" i="29" s="1"/>
  <c r="H28" i="29"/>
  <c r="H37" i="29" s="1"/>
  <c r="G110" i="28"/>
  <c r="G116" i="28" s="1"/>
  <c r="H106" i="28"/>
  <c r="H122" i="28" s="1"/>
  <c r="G88" i="28"/>
  <c r="G87" i="28"/>
  <c r="G86" i="28"/>
  <c r="G85" i="28"/>
  <c r="G84" i="28"/>
  <c r="G83" i="28"/>
  <c r="G82" i="28"/>
  <c r="G74" i="28"/>
  <c r="H59" i="28"/>
  <c r="H57" i="28"/>
  <c r="H56" i="28"/>
  <c r="G53" i="28"/>
  <c r="G42" i="28" s="1"/>
  <c r="J35" i="28"/>
  <c r="H29" i="28"/>
  <c r="H28" i="28"/>
  <c r="H59" i="41" l="1"/>
  <c r="H37" i="38"/>
  <c r="H50" i="38" s="1"/>
  <c r="H87" i="42"/>
  <c r="H59" i="42"/>
  <c r="H87" i="41"/>
  <c r="H87" i="40"/>
  <c r="G94" i="38"/>
  <c r="G95" i="38" s="1"/>
  <c r="G77" i="38"/>
  <c r="G79" i="38" s="1"/>
  <c r="H87" i="32"/>
  <c r="G42" i="33"/>
  <c r="H58" i="34"/>
  <c r="H66" i="34" s="1"/>
  <c r="H59" i="40"/>
  <c r="H67" i="40" s="1"/>
  <c r="H71" i="40" s="1"/>
  <c r="H37" i="28"/>
  <c r="H118" i="28" s="1"/>
  <c r="G90" i="30"/>
  <c r="G91" i="30" s="1"/>
  <c r="G92" i="30" s="1"/>
  <c r="G98" i="30" s="1"/>
  <c r="H58" i="33"/>
  <c r="G42" i="34"/>
  <c r="H41" i="30"/>
  <c r="H53" i="30"/>
  <c r="H47" i="35"/>
  <c r="H58" i="38"/>
  <c r="H41" i="41"/>
  <c r="G94" i="28"/>
  <c r="G95" i="28" s="1"/>
  <c r="G77" i="28"/>
  <c r="H42" i="30"/>
  <c r="H43" i="30" s="1"/>
  <c r="H44" i="30" s="1"/>
  <c r="H69" i="30" s="1"/>
  <c r="H78" i="32"/>
  <c r="H49" i="35"/>
  <c r="H76" i="35"/>
  <c r="H50" i="30"/>
  <c r="G89" i="28"/>
  <c r="G90" i="28" s="1"/>
  <c r="G91" i="28" s="1"/>
  <c r="G97" i="28" s="1"/>
  <c r="G43" i="32"/>
  <c r="H41" i="35"/>
  <c r="H43" i="35" s="1"/>
  <c r="H44" i="35" s="1"/>
  <c r="H69" i="35" s="1"/>
  <c r="G90" i="35"/>
  <c r="H37" i="39"/>
  <c r="H86" i="39" s="1"/>
  <c r="G89" i="39"/>
  <c r="G91" i="39" s="1"/>
  <c r="G97" i="39" s="1"/>
  <c r="H47" i="41"/>
  <c r="H86" i="29"/>
  <c r="H118" i="29"/>
  <c r="H52" i="33"/>
  <c r="H118" i="33"/>
  <c r="H78" i="33"/>
  <c r="H50" i="33"/>
  <c r="H75" i="33"/>
  <c r="H46" i="33"/>
  <c r="G90" i="32"/>
  <c r="G91" i="32" s="1"/>
  <c r="G92" i="32" s="1"/>
  <c r="G98" i="32" s="1"/>
  <c r="H60" i="28"/>
  <c r="H61" i="28" s="1"/>
  <c r="H87" i="31"/>
  <c r="H119" i="31"/>
  <c r="H51" i="31"/>
  <c r="G90" i="31"/>
  <c r="G91" i="31" s="1"/>
  <c r="G92" i="31" s="1"/>
  <c r="G98" i="31" s="1"/>
  <c r="G91" i="35"/>
  <c r="G92" i="35" s="1"/>
  <c r="G98" i="35" s="1"/>
  <c r="G89" i="29"/>
  <c r="G90" i="29" s="1"/>
  <c r="G91" i="29" s="1"/>
  <c r="G97" i="29" s="1"/>
  <c r="H41" i="31"/>
  <c r="H61" i="31"/>
  <c r="H62" i="31" s="1"/>
  <c r="H88" i="32"/>
  <c r="H47" i="32"/>
  <c r="G80" i="32"/>
  <c r="H85" i="32"/>
  <c r="G89" i="34"/>
  <c r="G90" i="34" s="1"/>
  <c r="G91" i="34" s="1"/>
  <c r="G97" i="34" s="1"/>
  <c r="G43" i="35"/>
  <c r="H59" i="35"/>
  <c r="H87" i="36"/>
  <c r="H119" i="36"/>
  <c r="G90" i="36"/>
  <c r="G91" i="36" s="1"/>
  <c r="G92" i="36" s="1"/>
  <c r="G98" i="36" s="1"/>
  <c r="G90" i="40"/>
  <c r="G92" i="40" s="1"/>
  <c r="G98" i="40" s="1"/>
  <c r="G79" i="28"/>
  <c r="H87" i="30"/>
  <c r="H49" i="30"/>
  <c r="G43" i="31"/>
  <c r="H59" i="31"/>
  <c r="H42" i="32"/>
  <c r="H50" i="32"/>
  <c r="H94" i="32"/>
  <c r="H119" i="32"/>
  <c r="G89" i="33"/>
  <c r="G90" i="33" s="1"/>
  <c r="G91" i="33" s="1"/>
  <c r="G97" i="33" s="1"/>
  <c r="H87" i="35"/>
  <c r="H119" i="35"/>
  <c r="H46" i="35"/>
  <c r="H53" i="35"/>
  <c r="G78" i="35"/>
  <c r="G80" i="35" s="1"/>
  <c r="G43" i="36"/>
  <c r="H87" i="37"/>
  <c r="H119" i="37"/>
  <c r="H51" i="41"/>
  <c r="G90" i="41"/>
  <c r="G92" i="41" s="1"/>
  <c r="G98" i="41" s="1"/>
  <c r="H79" i="35"/>
  <c r="G43" i="37"/>
  <c r="G90" i="37"/>
  <c r="G91" i="37" s="1"/>
  <c r="G92" i="37" s="1"/>
  <c r="G98" i="37" s="1"/>
  <c r="G89" i="38"/>
  <c r="G91" i="38" s="1"/>
  <c r="G97" i="38" s="1"/>
  <c r="H58" i="39"/>
  <c r="H66" i="39" s="1"/>
  <c r="H70" i="39" s="1"/>
  <c r="G90" i="42"/>
  <c r="G92" i="42" s="1"/>
  <c r="G98" i="42" s="1"/>
  <c r="H58" i="28"/>
  <c r="H46" i="28"/>
  <c r="H41" i="28"/>
  <c r="H45" i="28"/>
  <c r="H40" i="28"/>
  <c r="G99" i="42"/>
  <c r="H48" i="42"/>
  <c r="H52" i="42"/>
  <c r="H76" i="42"/>
  <c r="H79" i="42"/>
  <c r="H95" i="42"/>
  <c r="H41" i="42"/>
  <c r="H49" i="42"/>
  <c r="H53" i="42"/>
  <c r="H61" i="42"/>
  <c r="H62" i="42" s="1"/>
  <c r="H74" i="42"/>
  <c r="H77" i="42"/>
  <c r="H84" i="42"/>
  <c r="H86" i="42"/>
  <c r="H88" i="42"/>
  <c r="H42" i="42"/>
  <c r="H46" i="42"/>
  <c r="H50" i="42"/>
  <c r="G78" i="42"/>
  <c r="G80" i="42" s="1"/>
  <c r="H94" i="42"/>
  <c r="H119" i="42"/>
  <c r="H47" i="42"/>
  <c r="H51" i="42"/>
  <c r="H75" i="42"/>
  <c r="H85" i="42"/>
  <c r="G99" i="41"/>
  <c r="H48" i="41"/>
  <c r="H52" i="41"/>
  <c r="H76" i="41"/>
  <c r="H79" i="41"/>
  <c r="H95" i="41"/>
  <c r="H49" i="41"/>
  <c r="H53" i="41"/>
  <c r="H61" i="41"/>
  <c r="H62" i="41" s="1"/>
  <c r="H67" i="41" s="1"/>
  <c r="H74" i="41"/>
  <c r="H77" i="41"/>
  <c r="H84" i="41"/>
  <c r="H86" i="41"/>
  <c r="H88" i="41"/>
  <c r="H42" i="41"/>
  <c r="H46" i="41"/>
  <c r="H50" i="41"/>
  <c r="G78" i="41"/>
  <c r="G80" i="41" s="1"/>
  <c r="H94" i="41"/>
  <c r="H119" i="41"/>
  <c r="H75" i="41"/>
  <c r="H85" i="41"/>
  <c r="G99" i="40"/>
  <c r="H47" i="40"/>
  <c r="H51" i="40"/>
  <c r="H76" i="40"/>
  <c r="H79" i="40"/>
  <c r="H95" i="40"/>
  <c r="H48" i="40"/>
  <c r="H52" i="40"/>
  <c r="H74" i="40"/>
  <c r="H77" i="40"/>
  <c r="H84" i="40"/>
  <c r="H86" i="40"/>
  <c r="H88" i="40"/>
  <c r="H41" i="40"/>
  <c r="H49" i="40"/>
  <c r="H53" i="40"/>
  <c r="G78" i="40"/>
  <c r="G80" i="40" s="1"/>
  <c r="H94" i="40"/>
  <c r="H96" i="40" s="1"/>
  <c r="H99" i="40" s="1"/>
  <c r="H119" i="40"/>
  <c r="H42" i="40"/>
  <c r="H46" i="40"/>
  <c r="H50" i="40"/>
  <c r="H75" i="40"/>
  <c r="H85" i="40"/>
  <c r="H84" i="39"/>
  <c r="H46" i="39"/>
  <c r="H118" i="39"/>
  <c r="H93" i="39"/>
  <c r="H45" i="39"/>
  <c r="H41" i="39"/>
  <c r="H87" i="39"/>
  <c r="H83" i="39"/>
  <c r="H76" i="39"/>
  <c r="H73" i="39"/>
  <c r="H48" i="39"/>
  <c r="H40" i="39"/>
  <c r="H94" i="39"/>
  <c r="H75" i="39"/>
  <c r="H51" i="39"/>
  <c r="H47" i="39"/>
  <c r="G98" i="39"/>
  <c r="G77" i="39"/>
  <c r="G79" i="39" s="1"/>
  <c r="G98" i="38"/>
  <c r="H87" i="38"/>
  <c r="H49" i="38"/>
  <c r="H94" i="38"/>
  <c r="H60" i="38"/>
  <c r="H61" i="38" s="1"/>
  <c r="H48" i="38"/>
  <c r="G100" i="37"/>
  <c r="G99" i="37"/>
  <c r="H48" i="37"/>
  <c r="H52" i="37"/>
  <c r="H76" i="37"/>
  <c r="H79" i="37"/>
  <c r="H95" i="37"/>
  <c r="H41" i="37"/>
  <c r="H49" i="37"/>
  <c r="H53" i="37"/>
  <c r="H61" i="37"/>
  <c r="H62" i="37" s="1"/>
  <c r="H67" i="37" s="1"/>
  <c r="H74" i="37"/>
  <c r="H77" i="37"/>
  <c r="H84" i="37"/>
  <c r="H86" i="37"/>
  <c r="H88" i="37"/>
  <c r="H42" i="37"/>
  <c r="H46" i="37"/>
  <c r="H50" i="37"/>
  <c r="G78" i="37"/>
  <c r="G80" i="37" s="1"/>
  <c r="H94" i="37"/>
  <c r="H47" i="37"/>
  <c r="H51" i="37"/>
  <c r="H75" i="37"/>
  <c r="H85" i="37"/>
  <c r="G99" i="36"/>
  <c r="H48" i="36"/>
  <c r="H52" i="36"/>
  <c r="H76" i="36"/>
  <c r="H79" i="36"/>
  <c r="H95" i="36"/>
  <c r="H41" i="36"/>
  <c r="H49" i="36"/>
  <c r="H53" i="36"/>
  <c r="H61" i="36"/>
  <c r="H62" i="36" s="1"/>
  <c r="H67" i="36" s="1"/>
  <c r="H74" i="36"/>
  <c r="H77" i="36"/>
  <c r="H84" i="36"/>
  <c r="H86" i="36"/>
  <c r="H88" i="36"/>
  <c r="H42" i="36"/>
  <c r="H46" i="36"/>
  <c r="H50" i="36"/>
  <c r="G78" i="36"/>
  <c r="G80" i="36" s="1"/>
  <c r="H94" i="36"/>
  <c r="H47" i="36"/>
  <c r="H51" i="36"/>
  <c r="H75" i="36"/>
  <c r="H85" i="36"/>
  <c r="G96" i="35"/>
  <c r="H95" i="35"/>
  <c r="H48" i="35"/>
  <c r="H52" i="35"/>
  <c r="H61" i="35"/>
  <c r="H62" i="35" s="1"/>
  <c r="H74" i="35"/>
  <c r="H77" i="35"/>
  <c r="H84" i="35"/>
  <c r="H86" i="35"/>
  <c r="H88" i="35"/>
  <c r="H94" i="35"/>
  <c r="H50" i="35"/>
  <c r="H75" i="35"/>
  <c r="H85" i="35"/>
  <c r="G99" i="34"/>
  <c r="G98" i="34"/>
  <c r="H86" i="34"/>
  <c r="H84" i="34"/>
  <c r="H74" i="34"/>
  <c r="H50" i="34"/>
  <c r="H46" i="34"/>
  <c r="H118" i="34"/>
  <c r="H93" i="34"/>
  <c r="H49" i="34"/>
  <c r="H45" i="34"/>
  <c r="H41" i="34"/>
  <c r="H87" i="34"/>
  <c r="H85" i="34"/>
  <c r="H83" i="34"/>
  <c r="H76" i="34"/>
  <c r="H73" i="34"/>
  <c r="H52" i="34"/>
  <c r="H48" i="34"/>
  <c r="H40" i="34"/>
  <c r="H42" i="34" s="1"/>
  <c r="H94" i="34"/>
  <c r="H78" i="34"/>
  <c r="H75" i="34"/>
  <c r="H51" i="34"/>
  <c r="H47" i="34"/>
  <c r="H70" i="34"/>
  <c r="G77" i="34"/>
  <c r="H77" i="34" s="1"/>
  <c r="H59" i="32"/>
  <c r="H59" i="30"/>
  <c r="H67" i="30" s="1"/>
  <c r="H71" i="30" s="1"/>
  <c r="H58" i="29"/>
  <c r="G98" i="33"/>
  <c r="H61" i="33"/>
  <c r="H66" i="33" s="1"/>
  <c r="H85" i="33"/>
  <c r="H41" i="33"/>
  <c r="H45" i="33"/>
  <c r="H49" i="33"/>
  <c r="H74" i="33"/>
  <c r="H84" i="33"/>
  <c r="H86" i="33"/>
  <c r="H94" i="33"/>
  <c r="H47" i="33"/>
  <c r="H51" i="33"/>
  <c r="H73" i="33"/>
  <c r="H76" i="33"/>
  <c r="H83" i="33"/>
  <c r="H87" i="33"/>
  <c r="H93" i="33"/>
  <c r="H40" i="33"/>
  <c r="H48" i="33"/>
  <c r="G77" i="33"/>
  <c r="G79" i="33" s="1"/>
  <c r="H75" i="32"/>
  <c r="G95" i="32"/>
  <c r="G96" i="32" s="1"/>
  <c r="H48" i="32"/>
  <c r="H52" i="32"/>
  <c r="H76" i="32"/>
  <c r="H79" i="32"/>
  <c r="H41" i="32"/>
  <c r="H43" i="32" s="1"/>
  <c r="H49" i="32"/>
  <c r="H53" i="32"/>
  <c r="H74" i="32"/>
  <c r="H77" i="32"/>
  <c r="H84" i="32"/>
  <c r="H86" i="32"/>
  <c r="G100" i="31"/>
  <c r="G99" i="31"/>
  <c r="H48" i="31"/>
  <c r="H52" i="31"/>
  <c r="H76" i="31"/>
  <c r="H79" i="31"/>
  <c r="H95" i="31"/>
  <c r="H49" i="31"/>
  <c r="H53" i="31"/>
  <c r="H74" i="31"/>
  <c r="H77" i="31"/>
  <c r="H84" i="31"/>
  <c r="H86" i="31"/>
  <c r="H88" i="31"/>
  <c r="H42" i="31"/>
  <c r="H46" i="31"/>
  <c r="H50" i="31"/>
  <c r="G78" i="31"/>
  <c r="G80" i="31" s="1"/>
  <c r="H94" i="31"/>
  <c r="H75" i="31"/>
  <c r="H85" i="31"/>
  <c r="G100" i="30"/>
  <c r="G99" i="30"/>
  <c r="G43" i="30"/>
  <c r="H47" i="30"/>
  <c r="H51" i="30"/>
  <c r="H76" i="30"/>
  <c r="H79" i="30"/>
  <c r="H95" i="30"/>
  <c r="H48" i="30"/>
  <c r="H52" i="30"/>
  <c r="H74" i="30"/>
  <c r="H77" i="30"/>
  <c r="H84" i="30"/>
  <c r="H86" i="30"/>
  <c r="H88" i="30"/>
  <c r="G78" i="30"/>
  <c r="G80" i="30" s="1"/>
  <c r="H94" i="30"/>
  <c r="H119" i="30"/>
  <c r="H75" i="30"/>
  <c r="H78" i="30"/>
  <c r="H85" i="30"/>
  <c r="G99" i="29"/>
  <c r="G98" i="29"/>
  <c r="H47" i="29"/>
  <c r="H51" i="29"/>
  <c r="H75" i="29"/>
  <c r="H78" i="29"/>
  <c r="H94" i="29"/>
  <c r="H40" i="29"/>
  <c r="H48" i="29"/>
  <c r="H52" i="29"/>
  <c r="H60" i="29"/>
  <c r="H61" i="29" s="1"/>
  <c r="H73" i="29"/>
  <c r="H76" i="29"/>
  <c r="H83" i="29"/>
  <c r="H85" i="29"/>
  <c r="H87" i="29"/>
  <c r="H41" i="29"/>
  <c r="H45" i="29"/>
  <c r="H49" i="29"/>
  <c r="G77" i="29"/>
  <c r="G79" i="29" s="1"/>
  <c r="H93" i="29"/>
  <c r="H95" i="29" s="1"/>
  <c r="H98" i="29" s="1"/>
  <c r="G42" i="29"/>
  <c r="H46" i="29"/>
  <c r="H50" i="29"/>
  <c r="H74" i="29"/>
  <c r="H84" i="29"/>
  <c r="H52" i="28"/>
  <c r="H48" i="28"/>
  <c r="H93" i="28"/>
  <c r="H87" i="28"/>
  <c r="H85" i="28"/>
  <c r="H83" i="28"/>
  <c r="H76" i="28"/>
  <c r="H73" i="28"/>
  <c r="H51" i="28"/>
  <c r="H47" i="28"/>
  <c r="H78" i="28"/>
  <c r="H75" i="28"/>
  <c r="H50" i="28"/>
  <c r="H94" i="28"/>
  <c r="H86" i="28"/>
  <c r="H84" i="28"/>
  <c r="H77" i="28"/>
  <c r="H74" i="28"/>
  <c r="H49" i="28"/>
  <c r="G99" i="28"/>
  <c r="G98" i="28"/>
  <c r="H74" i="39" l="1"/>
  <c r="H42" i="39"/>
  <c r="H85" i="38"/>
  <c r="H84" i="38"/>
  <c r="H76" i="38"/>
  <c r="H78" i="38"/>
  <c r="H52" i="38"/>
  <c r="H51" i="38"/>
  <c r="H41" i="38"/>
  <c r="H42" i="38" s="1"/>
  <c r="H40" i="38"/>
  <c r="H47" i="38"/>
  <c r="H74" i="38"/>
  <c r="H93" i="38"/>
  <c r="H73" i="38"/>
  <c r="H46" i="38"/>
  <c r="H118" i="38"/>
  <c r="H75" i="38"/>
  <c r="H86" i="38"/>
  <c r="H45" i="38"/>
  <c r="H83" i="38"/>
  <c r="H54" i="32"/>
  <c r="H78" i="35"/>
  <c r="H78" i="39"/>
  <c r="H52" i="39"/>
  <c r="H85" i="39"/>
  <c r="H49" i="39"/>
  <c r="H50" i="39"/>
  <c r="G99" i="38"/>
  <c r="H96" i="30"/>
  <c r="H99" i="30" s="1"/>
  <c r="H95" i="33"/>
  <c r="H98" i="33" s="1"/>
  <c r="H77" i="38"/>
  <c r="G99" i="39"/>
  <c r="H90" i="32"/>
  <c r="H78" i="37"/>
  <c r="H43" i="37"/>
  <c r="G100" i="40"/>
  <c r="G100" i="42"/>
  <c r="H66" i="28"/>
  <c r="H70" i="28" s="1"/>
  <c r="H78" i="41"/>
  <c r="H80" i="41" s="1"/>
  <c r="H121" i="41" s="1"/>
  <c r="H78" i="31"/>
  <c r="H80" i="31" s="1"/>
  <c r="H121" i="31" s="1"/>
  <c r="H77" i="33"/>
  <c r="G99" i="33"/>
  <c r="H54" i="35"/>
  <c r="H70" i="35" s="1"/>
  <c r="H71" i="36"/>
  <c r="H96" i="37"/>
  <c r="H99" i="37" s="1"/>
  <c r="H90" i="37"/>
  <c r="H67" i="31"/>
  <c r="H71" i="31" s="1"/>
  <c r="H66" i="29"/>
  <c r="H70" i="29" s="1"/>
  <c r="H96" i="35"/>
  <c r="H99" i="35" s="1"/>
  <c r="I90" i="37"/>
  <c r="H54" i="41"/>
  <c r="H70" i="41" s="1"/>
  <c r="G100" i="41"/>
  <c r="H67" i="32"/>
  <c r="H71" i="32" s="1"/>
  <c r="H71" i="35"/>
  <c r="H71" i="37"/>
  <c r="H89" i="33"/>
  <c r="H90" i="33" s="1"/>
  <c r="H71" i="41"/>
  <c r="H54" i="30"/>
  <c r="H70" i="30" s="1"/>
  <c r="H72" i="30" s="1"/>
  <c r="H120" i="30" s="1"/>
  <c r="H43" i="31"/>
  <c r="H44" i="31" s="1"/>
  <c r="H69" i="31" s="1"/>
  <c r="H70" i="33"/>
  <c r="H89" i="34"/>
  <c r="I90" i="34" s="1"/>
  <c r="H80" i="35"/>
  <c r="H121" i="35" s="1"/>
  <c r="H78" i="36"/>
  <c r="H80" i="36" s="1"/>
  <c r="H121" i="36" s="1"/>
  <c r="H96" i="36"/>
  <c r="H99" i="36" s="1"/>
  <c r="G100" i="36"/>
  <c r="H96" i="41"/>
  <c r="H99" i="41" s="1"/>
  <c r="H67" i="42"/>
  <c r="H71" i="42" s="1"/>
  <c r="H67" i="35"/>
  <c r="H66" i="38"/>
  <c r="H70" i="38" s="1"/>
  <c r="H42" i="28"/>
  <c r="H43" i="28" s="1"/>
  <c r="H68" i="28" s="1"/>
  <c r="H53" i="28"/>
  <c r="H69" i="28" s="1"/>
  <c r="H44" i="42"/>
  <c r="H69" i="42" s="1"/>
  <c r="H78" i="42"/>
  <c r="H80" i="42" s="1"/>
  <c r="H121" i="42" s="1"/>
  <c r="H54" i="42"/>
  <c r="H96" i="42"/>
  <c r="H99" i="42" s="1"/>
  <c r="H90" i="42"/>
  <c r="H44" i="41"/>
  <c r="H69" i="41" s="1"/>
  <c r="H90" i="41"/>
  <c r="H44" i="40"/>
  <c r="H69" i="40" s="1"/>
  <c r="H90" i="40"/>
  <c r="H54" i="40"/>
  <c r="H70" i="40" s="1"/>
  <c r="H78" i="40"/>
  <c r="H80" i="40" s="1"/>
  <c r="H121" i="40" s="1"/>
  <c r="H95" i="39"/>
  <c r="H98" i="39" s="1"/>
  <c r="H77" i="39"/>
  <c r="H89" i="39"/>
  <c r="H43" i="39"/>
  <c r="H68" i="39" s="1"/>
  <c r="H53" i="38"/>
  <c r="H69" i="38" s="1"/>
  <c r="H95" i="38"/>
  <c r="H98" i="38" s="1"/>
  <c r="H54" i="37"/>
  <c r="H91" i="37"/>
  <c r="H92" i="37" s="1"/>
  <c r="H98" i="37" s="1"/>
  <c r="H100" i="37" s="1"/>
  <c r="H122" i="37" s="1"/>
  <c r="H80" i="37"/>
  <c r="H121" i="37" s="1"/>
  <c r="H44" i="37"/>
  <c r="H69" i="37" s="1"/>
  <c r="H43" i="36"/>
  <c r="H44" i="36" s="1"/>
  <c r="H69" i="36" s="1"/>
  <c r="H54" i="36"/>
  <c r="H90" i="36"/>
  <c r="H90" i="35"/>
  <c r="G100" i="35"/>
  <c r="G99" i="35"/>
  <c r="H90" i="34"/>
  <c r="H91" i="34" s="1"/>
  <c r="H97" i="34" s="1"/>
  <c r="H53" i="34"/>
  <c r="G79" i="34"/>
  <c r="H79" i="34"/>
  <c r="H120" i="34" s="1"/>
  <c r="H95" i="34"/>
  <c r="H98" i="34" s="1"/>
  <c r="H43" i="34"/>
  <c r="H68" i="34" s="1"/>
  <c r="H42" i="33"/>
  <c r="H43" i="33" s="1"/>
  <c r="H68" i="33" s="1"/>
  <c r="H71" i="33" s="1"/>
  <c r="H119" i="33" s="1"/>
  <c r="H79" i="33"/>
  <c r="H120" i="33" s="1"/>
  <c r="H53" i="33"/>
  <c r="H69" i="33" s="1"/>
  <c r="H70" i="32"/>
  <c r="I53" i="32"/>
  <c r="G99" i="32"/>
  <c r="G100" i="32"/>
  <c r="H44" i="32"/>
  <c r="H69" i="32" s="1"/>
  <c r="I90" i="32"/>
  <c r="H91" i="32"/>
  <c r="H92" i="32" s="1"/>
  <c r="H98" i="32" s="1"/>
  <c r="H80" i="32"/>
  <c r="H121" i="32" s="1"/>
  <c r="H95" i="32"/>
  <c r="H96" i="32" s="1"/>
  <c r="H99" i="32" s="1"/>
  <c r="H96" i="31"/>
  <c r="H99" i="31" s="1"/>
  <c r="H90" i="31"/>
  <c r="H54" i="31"/>
  <c r="H90" i="30"/>
  <c r="I90" i="30" s="1"/>
  <c r="H80" i="30"/>
  <c r="H121" i="30" s="1"/>
  <c r="H42" i="29"/>
  <c r="H43" i="29" s="1"/>
  <c r="H68" i="29" s="1"/>
  <c r="H77" i="29"/>
  <c r="H79" i="29" s="1"/>
  <c r="H120" i="29" s="1"/>
  <c r="H53" i="29"/>
  <c r="H89" i="29"/>
  <c r="H79" i="28"/>
  <c r="H120" i="28" s="1"/>
  <c r="H95" i="28"/>
  <c r="H98" i="28" s="1"/>
  <c r="H89" i="28"/>
  <c r="H43" i="38" l="1"/>
  <c r="H68" i="38" s="1"/>
  <c r="H89" i="38"/>
  <c r="H91" i="38" s="1"/>
  <c r="H97" i="38" s="1"/>
  <c r="H99" i="38" s="1"/>
  <c r="H121" i="38" s="1"/>
  <c r="H79" i="38"/>
  <c r="H120" i="38" s="1"/>
  <c r="H79" i="39"/>
  <c r="H120" i="39" s="1"/>
  <c r="H72" i="35"/>
  <c r="H120" i="35" s="1"/>
  <c r="H53" i="39"/>
  <c r="H69" i="39" s="1"/>
  <c r="H71" i="39" s="1"/>
  <c r="H119" i="39" s="1"/>
  <c r="H100" i="32"/>
  <c r="H122" i="32" s="1"/>
  <c r="H72" i="40"/>
  <c r="H120" i="40" s="1"/>
  <c r="H72" i="41"/>
  <c r="H120" i="41" s="1"/>
  <c r="H72" i="32"/>
  <c r="H120" i="32" s="1"/>
  <c r="H99" i="34"/>
  <c r="H121" i="34" s="1"/>
  <c r="H71" i="38"/>
  <c r="H119" i="38" s="1"/>
  <c r="H91" i="33"/>
  <c r="H97" i="33" s="1"/>
  <c r="H99" i="33" s="1"/>
  <c r="H121" i="33" s="1"/>
  <c r="H123" i="33" s="1"/>
  <c r="H108" i="33" s="1"/>
  <c r="H71" i="28"/>
  <c r="H119" i="28" s="1"/>
  <c r="H70" i="42"/>
  <c r="H72" i="42" s="1"/>
  <c r="H120" i="42" s="1"/>
  <c r="H92" i="42"/>
  <c r="H98" i="42" s="1"/>
  <c r="H100" i="42" s="1"/>
  <c r="H122" i="42" s="1"/>
  <c r="H92" i="41"/>
  <c r="H98" i="41" s="1"/>
  <c r="H100" i="41" s="1"/>
  <c r="H122" i="41" s="1"/>
  <c r="H92" i="40"/>
  <c r="H98" i="40" s="1"/>
  <c r="H100" i="40" s="1"/>
  <c r="H122" i="40" s="1"/>
  <c r="H91" i="39"/>
  <c r="H97" i="39" s="1"/>
  <c r="H99" i="39" s="1"/>
  <c r="H121" i="39" s="1"/>
  <c r="H70" i="37"/>
  <c r="H72" i="37" s="1"/>
  <c r="H120" i="37" s="1"/>
  <c r="H124" i="37" s="1"/>
  <c r="H109" i="37" s="1"/>
  <c r="I53" i="37"/>
  <c r="H91" i="36"/>
  <c r="H92" i="36" s="1"/>
  <c r="H98" i="36" s="1"/>
  <c r="H100" i="36" s="1"/>
  <c r="H122" i="36" s="1"/>
  <c r="H70" i="36"/>
  <c r="H72" i="36" s="1"/>
  <c r="H120" i="36" s="1"/>
  <c r="I53" i="36"/>
  <c r="I90" i="36"/>
  <c r="H91" i="35"/>
  <c r="H92" i="35" s="1"/>
  <c r="H98" i="35" s="1"/>
  <c r="H100" i="35" s="1"/>
  <c r="H122" i="35" s="1"/>
  <c r="I90" i="35"/>
  <c r="H69" i="34"/>
  <c r="H71" i="34" s="1"/>
  <c r="H119" i="34" s="1"/>
  <c r="I53" i="34"/>
  <c r="H70" i="31"/>
  <c r="H72" i="31" s="1"/>
  <c r="H120" i="31" s="1"/>
  <c r="I53" i="31"/>
  <c r="H91" i="31"/>
  <c r="H92" i="31"/>
  <c r="H98" i="31" s="1"/>
  <c r="H100" i="31" s="1"/>
  <c r="H122" i="31" s="1"/>
  <c r="I90" i="31"/>
  <c r="H91" i="30"/>
  <c r="H92" i="30" s="1"/>
  <c r="H98" i="30" s="1"/>
  <c r="H100" i="30" s="1"/>
  <c r="H122" i="30" s="1"/>
  <c r="H124" i="30" s="1"/>
  <c r="H109" i="30" s="1"/>
  <c r="H69" i="29"/>
  <c r="H71" i="29" s="1"/>
  <c r="H119" i="29" s="1"/>
  <c r="I53" i="29"/>
  <c r="H90" i="29"/>
  <c r="H91" i="29" s="1"/>
  <c r="H97" i="29" s="1"/>
  <c r="H99" i="29" s="1"/>
  <c r="H121" i="29" s="1"/>
  <c r="I90" i="29"/>
  <c r="H90" i="28"/>
  <c r="H91" i="28" s="1"/>
  <c r="H97" i="28" s="1"/>
  <c r="H99" i="28" s="1"/>
  <c r="H121" i="28" s="1"/>
  <c r="G110" i="6"/>
  <c r="G116" i="6" s="1"/>
  <c r="H106" i="6"/>
  <c r="H122" i="6" s="1"/>
  <c r="G88" i="6"/>
  <c r="G87" i="6"/>
  <c r="G86" i="6"/>
  <c r="G85" i="6"/>
  <c r="G84" i="6"/>
  <c r="G83" i="6"/>
  <c r="G82" i="6"/>
  <c r="G74" i="6"/>
  <c r="H60" i="6"/>
  <c r="H58" i="6"/>
  <c r="H57" i="6"/>
  <c r="G54" i="6"/>
  <c r="G77" i="6" s="1"/>
  <c r="G79" i="6" s="1"/>
  <c r="G43" i="6"/>
  <c r="H29" i="6"/>
  <c r="H38" i="6" s="1"/>
  <c r="H124" i="32" l="1"/>
  <c r="H109" i="32" s="1"/>
  <c r="H124" i="31"/>
  <c r="H109" i="31" s="1"/>
  <c r="H110" i="31"/>
  <c r="H114" i="31" s="1"/>
  <c r="H123" i="29"/>
  <c r="H108" i="29" s="1"/>
  <c r="H123" i="39"/>
  <c r="H108" i="39" s="1"/>
  <c r="H110" i="37"/>
  <c r="H114" i="37" s="1"/>
  <c r="H59" i="6"/>
  <c r="G89" i="6"/>
  <c r="G90" i="6" s="1"/>
  <c r="G91" i="6" s="1"/>
  <c r="G97" i="6" s="1"/>
  <c r="H123" i="38"/>
  <c r="H108" i="38" s="1"/>
  <c r="H110" i="32"/>
  <c r="H116" i="32" s="1"/>
  <c r="H109" i="33"/>
  <c r="H115" i="33" s="1"/>
  <c r="H123" i="28"/>
  <c r="H124" i="42"/>
  <c r="H124" i="41"/>
  <c r="H109" i="41" s="1"/>
  <c r="H124" i="40"/>
  <c r="H109" i="40" s="1"/>
  <c r="H124" i="36"/>
  <c r="H109" i="36" s="1"/>
  <c r="H124" i="35"/>
  <c r="H109" i="35" s="1"/>
  <c r="H123" i="34"/>
  <c r="H108" i="34" s="1"/>
  <c r="H93" i="6"/>
  <c r="H50" i="6"/>
  <c r="H46" i="6"/>
  <c r="H42" i="6"/>
  <c r="H118" i="6"/>
  <c r="H87" i="6"/>
  <c r="H85" i="6"/>
  <c r="H83" i="6"/>
  <c r="H76" i="6"/>
  <c r="H73" i="6"/>
  <c r="H53" i="6"/>
  <c r="H49" i="6"/>
  <c r="H41" i="6"/>
  <c r="H78" i="6"/>
  <c r="H75" i="6"/>
  <c r="H52" i="6"/>
  <c r="H48" i="6"/>
  <c r="H86" i="6"/>
  <c r="H84" i="6"/>
  <c r="H77" i="6"/>
  <c r="H74" i="6"/>
  <c r="H51" i="6"/>
  <c r="H47" i="6"/>
  <c r="H65" i="6"/>
  <c r="G94" i="6"/>
  <c r="G95" i="6" s="1"/>
  <c r="H61" i="6"/>
  <c r="H62" i="6" s="1"/>
  <c r="H113" i="37" l="1"/>
  <c r="H113" i="32"/>
  <c r="J122" i="32"/>
  <c r="J123" i="32" s="1"/>
  <c r="J121" i="31"/>
  <c r="J122" i="31" s="1"/>
  <c r="H113" i="31"/>
  <c r="H116" i="31"/>
  <c r="H111" i="31" s="1"/>
  <c r="H117" i="31" s="1"/>
  <c r="I125" i="31"/>
  <c r="H109" i="29"/>
  <c r="H115" i="29" s="1"/>
  <c r="J122" i="33"/>
  <c r="J123" i="33" s="1"/>
  <c r="H114" i="32"/>
  <c r="H109" i="42"/>
  <c r="H110" i="41"/>
  <c r="H114" i="41" s="1"/>
  <c r="H110" i="40"/>
  <c r="H113" i="40" s="1"/>
  <c r="H109" i="39"/>
  <c r="H112" i="39" s="1"/>
  <c r="H109" i="34"/>
  <c r="H115" i="34" s="1"/>
  <c r="H113" i="33"/>
  <c r="H108" i="28"/>
  <c r="H109" i="38"/>
  <c r="H113" i="38" s="1"/>
  <c r="H116" i="37"/>
  <c r="H111" i="37" s="1"/>
  <c r="H110" i="36"/>
  <c r="H113" i="36" s="1"/>
  <c r="H110" i="35"/>
  <c r="H113" i="35" s="1"/>
  <c r="H112" i="33"/>
  <c r="I123" i="37"/>
  <c r="I124" i="37" s="1"/>
  <c r="H110" i="30"/>
  <c r="H66" i="6"/>
  <c r="H70" i="6" s="1"/>
  <c r="H54" i="6"/>
  <c r="H94" i="6"/>
  <c r="H95" i="6" s="1"/>
  <c r="H98" i="6" s="1"/>
  <c r="H79" i="6"/>
  <c r="H120" i="6" s="1"/>
  <c r="H43" i="6"/>
  <c r="H44" i="6" s="1"/>
  <c r="H68" i="6" s="1"/>
  <c r="G98" i="6"/>
  <c r="G99" i="6"/>
  <c r="H89" i="6"/>
  <c r="H113" i="39" l="1"/>
  <c r="H110" i="33"/>
  <c r="H116" i="33" s="1"/>
  <c r="H111" i="32"/>
  <c r="H117" i="32" s="1"/>
  <c r="H125" i="32" s="1"/>
  <c r="H114" i="40"/>
  <c r="H115" i="38"/>
  <c r="H116" i="35"/>
  <c r="H113" i="34"/>
  <c r="H112" i="34"/>
  <c r="H110" i="34" s="1"/>
  <c r="H112" i="29"/>
  <c r="H114" i="35"/>
  <c r="H111" i="35" s="1"/>
  <c r="H115" i="39"/>
  <c r="H116" i="41"/>
  <c r="I122" i="34"/>
  <c r="I123" i="34" s="1"/>
  <c r="H113" i="41"/>
  <c r="H113" i="29"/>
  <c r="H110" i="42"/>
  <c r="H116" i="40"/>
  <c r="J121" i="38"/>
  <c r="J122" i="38" s="1"/>
  <c r="I121" i="35"/>
  <c r="I122" i="35" s="1"/>
  <c r="H116" i="30"/>
  <c r="H113" i="30"/>
  <c r="J112" i="30"/>
  <c r="J113" i="30" s="1"/>
  <c r="H114" i="30"/>
  <c r="H109" i="28"/>
  <c r="J125" i="28" s="1"/>
  <c r="J126" i="28" s="1"/>
  <c r="H112" i="38"/>
  <c r="I121" i="36"/>
  <c r="I122" i="36" s="1"/>
  <c r="H116" i="36"/>
  <c r="H114" i="36"/>
  <c r="H124" i="33"/>
  <c r="H125" i="33" s="1"/>
  <c r="H117" i="37"/>
  <c r="H90" i="6"/>
  <c r="H91" i="6" s="1"/>
  <c r="H97" i="6" s="1"/>
  <c r="H99" i="6" s="1"/>
  <c r="H121" i="6" s="1"/>
  <c r="I89" i="6"/>
  <c r="H69" i="6"/>
  <c r="H71" i="6" s="1"/>
  <c r="H119" i="6" s="1"/>
  <c r="I53" i="6"/>
  <c r="H110" i="29" l="1"/>
  <c r="H111" i="41"/>
  <c r="H117" i="41" s="1"/>
  <c r="H125" i="41" s="1"/>
  <c r="H110" i="39"/>
  <c r="H116" i="39" s="1"/>
  <c r="H124" i="39" s="1"/>
  <c r="H125" i="39" s="1"/>
  <c r="H116" i="42"/>
  <c r="H113" i="42"/>
  <c r="H114" i="42"/>
  <c r="H110" i="38"/>
  <c r="H124" i="38" s="1"/>
  <c r="H125" i="38" s="1"/>
  <c r="H124" i="29"/>
  <c r="H116" i="29"/>
  <c r="H111" i="36"/>
  <c r="H117" i="36" s="1"/>
  <c r="H125" i="36" s="1"/>
  <c r="H126" i="36" s="1"/>
  <c r="H112" i="28"/>
  <c r="H113" i="28"/>
  <c r="H115" i="28"/>
  <c r="H111" i="30"/>
  <c r="H117" i="30" s="1"/>
  <c r="H125" i="30" s="1"/>
  <c r="H126" i="30" s="1"/>
  <c r="H116" i="34"/>
  <c r="H124" i="34" s="1"/>
  <c r="H125" i="34" s="1"/>
  <c r="H125" i="37"/>
  <c r="H126" i="37" s="1"/>
  <c r="H111" i="40"/>
  <c r="H117" i="40" s="1"/>
  <c r="H125" i="40" s="1"/>
  <c r="H126" i="40" s="1"/>
  <c r="H117" i="35"/>
  <c r="H125" i="35" s="1"/>
  <c r="H126" i="35" s="1"/>
  <c r="G124" i="33"/>
  <c r="H126" i="32"/>
  <c r="H123" i="6"/>
  <c r="H108" i="6" s="1"/>
  <c r="H111" i="42" l="1"/>
  <c r="H117" i="42" s="1"/>
  <c r="H125" i="42" s="1"/>
  <c r="H126" i="42" s="1"/>
  <c r="G121" i="42" s="1"/>
  <c r="H116" i="38"/>
  <c r="H110" i="28"/>
  <c r="H116" i="28" s="1"/>
  <c r="I125" i="29"/>
  <c r="H125" i="29"/>
  <c r="H125" i="31"/>
  <c r="I111" i="31"/>
  <c r="G124" i="38"/>
  <c r="H126" i="41"/>
  <c r="D130" i="40"/>
  <c r="G123" i="40"/>
  <c r="G119" i="40"/>
  <c r="G121" i="40"/>
  <c r="G120" i="40"/>
  <c r="G122" i="40"/>
  <c r="G125" i="40"/>
  <c r="D129" i="39"/>
  <c r="G122" i="39"/>
  <c r="G118" i="39"/>
  <c r="G120" i="39"/>
  <c r="G121" i="39"/>
  <c r="G119" i="39"/>
  <c r="G124" i="39"/>
  <c r="D130" i="37"/>
  <c r="H130" i="37" s="1"/>
  <c r="G123" i="37"/>
  <c r="G119" i="37"/>
  <c r="G122" i="37"/>
  <c r="G121" i="37"/>
  <c r="G120" i="37"/>
  <c r="G125" i="37"/>
  <c r="H112" i="36"/>
  <c r="D130" i="36"/>
  <c r="H130" i="36" s="1"/>
  <c r="G123" i="36"/>
  <c r="G119" i="36"/>
  <c r="G121" i="36"/>
  <c r="G120" i="36"/>
  <c r="G122" i="36"/>
  <c r="G125" i="36"/>
  <c r="G125" i="35"/>
  <c r="D129" i="34"/>
  <c r="H129" i="34" s="1"/>
  <c r="G122" i="34"/>
  <c r="G118" i="34"/>
  <c r="G120" i="34"/>
  <c r="G121" i="34"/>
  <c r="G119" i="34"/>
  <c r="G124" i="34"/>
  <c r="D129" i="33"/>
  <c r="H129" i="33" s="1"/>
  <c r="G122" i="33"/>
  <c r="G118" i="33"/>
  <c r="G119" i="33"/>
  <c r="G120" i="33"/>
  <c r="G121" i="33"/>
  <c r="D130" i="32"/>
  <c r="H130" i="32" s="1"/>
  <c r="G123" i="32"/>
  <c r="G119" i="32"/>
  <c r="G122" i="32"/>
  <c r="G121" i="32"/>
  <c r="G120" i="32"/>
  <c r="G125" i="32"/>
  <c r="D130" i="30"/>
  <c r="H130" i="30" s="1"/>
  <c r="G123" i="30"/>
  <c r="G120" i="30"/>
  <c r="G119" i="30"/>
  <c r="G121" i="30"/>
  <c r="G122" i="30"/>
  <c r="G125" i="30"/>
  <c r="H109" i="6"/>
  <c r="H124" i="6" s="1"/>
  <c r="H129" i="39" l="1"/>
  <c r="D19" i="43"/>
  <c r="H130" i="40"/>
  <c r="D22" i="43"/>
  <c r="G122" i="42"/>
  <c r="D130" i="42"/>
  <c r="G119" i="42"/>
  <c r="G120" i="42"/>
  <c r="G123" i="42"/>
  <c r="G125" i="42"/>
  <c r="H124" i="28"/>
  <c r="I125" i="28" s="1"/>
  <c r="G118" i="29"/>
  <c r="G124" i="29"/>
  <c r="G120" i="29"/>
  <c r="G122" i="29"/>
  <c r="D129" i="29"/>
  <c r="G119" i="29"/>
  <c r="G121" i="29"/>
  <c r="H126" i="31"/>
  <c r="G123" i="31" s="1"/>
  <c r="G123" i="34"/>
  <c r="G125" i="34" s="1"/>
  <c r="G124" i="32"/>
  <c r="G126" i="32" s="1"/>
  <c r="G124" i="37"/>
  <c r="G126" i="37" s="1"/>
  <c r="D130" i="41"/>
  <c r="G123" i="41"/>
  <c r="G119" i="41"/>
  <c r="G120" i="41"/>
  <c r="G121" i="41"/>
  <c r="G122" i="41"/>
  <c r="G125" i="41"/>
  <c r="G124" i="40"/>
  <c r="G126" i="40" s="1"/>
  <c r="F130" i="40"/>
  <c r="H131" i="40" s="1"/>
  <c r="H136" i="40" s="1"/>
  <c r="H137" i="40" s="1"/>
  <c r="H135" i="40"/>
  <c r="G123" i="39"/>
  <c r="G125" i="39" s="1"/>
  <c r="F129" i="39"/>
  <c r="H130" i="39" s="1"/>
  <c r="H135" i="39" s="1"/>
  <c r="H136" i="39" s="1"/>
  <c r="H134" i="39"/>
  <c r="D129" i="38"/>
  <c r="G122" i="38"/>
  <c r="G118" i="38"/>
  <c r="G119" i="38"/>
  <c r="G120" i="38"/>
  <c r="G121" i="38"/>
  <c r="F130" i="37"/>
  <c r="H131" i="37" s="1"/>
  <c r="H136" i="37" s="1"/>
  <c r="H137" i="37" s="1"/>
  <c r="H135" i="37"/>
  <c r="D14" i="43" s="1"/>
  <c r="G124" i="36"/>
  <c r="G126" i="36" s="1"/>
  <c r="F130" i="36"/>
  <c r="H131" i="36" s="1"/>
  <c r="H136" i="36" s="1"/>
  <c r="H137" i="36" s="1"/>
  <c r="H135" i="36"/>
  <c r="D13" i="43" s="1"/>
  <c r="H112" i="35"/>
  <c r="D130" i="35"/>
  <c r="H130" i="35" s="1"/>
  <c r="G123" i="35"/>
  <c r="G120" i="35"/>
  <c r="G119" i="35"/>
  <c r="G121" i="35"/>
  <c r="G122" i="35"/>
  <c r="F129" i="34"/>
  <c r="H130" i="34" s="1"/>
  <c r="H135" i="34" s="1"/>
  <c r="H136" i="34" s="1"/>
  <c r="H134" i="34"/>
  <c r="D11" i="43" s="1"/>
  <c r="G123" i="33"/>
  <c r="G125" i="33" s="1"/>
  <c r="F129" i="33"/>
  <c r="H130" i="33" s="1"/>
  <c r="H135" i="33" s="1"/>
  <c r="H136" i="33" s="1"/>
  <c r="H134" i="33"/>
  <c r="D10" i="43" s="1"/>
  <c r="H135" i="32"/>
  <c r="D7" i="43" s="1"/>
  <c r="F7" i="43" s="1"/>
  <c r="F130" i="32"/>
  <c r="H131" i="32" s="1"/>
  <c r="H136" i="32" s="1"/>
  <c r="H137" i="32" s="1"/>
  <c r="F130" i="30"/>
  <c r="H131" i="30" s="1"/>
  <c r="H136" i="30" s="1"/>
  <c r="H137" i="30" s="1"/>
  <c r="H135" i="30"/>
  <c r="D5" i="43" s="1"/>
  <c r="F5" i="43" s="1"/>
  <c r="G124" i="30"/>
  <c r="G126" i="30" s="1"/>
  <c r="H125" i="6"/>
  <c r="H130" i="41" l="1"/>
  <c r="D21" i="43"/>
  <c r="H130" i="42"/>
  <c r="D20" i="43"/>
  <c r="F20" i="43" s="1"/>
  <c r="G20" i="43" s="1"/>
  <c r="F19" i="43"/>
  <c r="G19" i="43" s="1"/>
  <c r="H129" i="38"/>
  <c r="D18" i="43"/>
  <c r="G124" i="42"/>
  <c r="G126" i="42" s="1"/>
  <c r="H135" i="42"/>
  <c r="F22" i="43" s="1"/>
  <c r="G22" i="43" s="1"/>
  <c r="G122" i="31"/>
  <c r="F130" i="42"/>
  <c r="H131" i="42" s="1"/>
  <c r="H136" i="42" s="1"/>
  <c r="H137" i="42" s="1"/>
  <c r="H125" i="28"/>
  <c r="G118" i="28" s="1"/>
  <c r="H129" i="29"/>
  <c r="F129" i="29"/>
  <c r="H134" i="29"/>
  <c r="G123" i="29"/>
  <c r="G125" i="29" s="1"/>
  <c r="G125" i="31"/>
  <c r="G119" i="31"/>
  <c r="G121" i="31"/>
  <c r="G120" i="31"/>
  <c r="D130" i="31"/>
  <c r="G123" i="38"/>
  <c r="G125" i="38" s="1"/>
  <c r="F11" i="43"/>
  <c r="G124" i="41"/>
  <c r="G126" i="41" s="1"/>
  <c r="F14" i="43"/>
  <c r="F130" i="41"/>
  <c r="H135" i="41"/>
  <c r="F129" i="38"/>
  <c r="H134" i="38"/>
  <c r="F130" i="35"/>
  <c r="H131" i="35" s="1"/>
  <c r="H136" i="35" s="1"/>
  <c r="H137" i="35" s="1"/>
  <c r="H135" i="35"/>
  <c r="D12" i="43" s="1"/>
  <c r="F12" i="43" s="1"/>
  <c r="G124" i="35"/>
  <c r="G126" i="35" s="1"/>
  <c r="G122" i="28"/>
  <c r="H112" i="6"/>
  <c r="H115" i="6"/>
  <c r="H111" i="6"/>
  <c r="D129" i="6"/>
  <c r="H114" i="6"/>
  <c r="H113" i="6"/>
  <c r="G122" i="6"/>
  <c r="G118" i="6"/>
  <c r="G120" i="6"/>
  <c r="G119" i="6"/>
  <c r="G121" i="6"/>
  <c r="G124" i="6"/>
  <c r="H131" i="41" l="1"/>
  <c r="H136" i="41" s="1"/>
  <c r="H137" i="41" s="1"/>
  <c r="H130" i="38"/>
  <c r="H135" i="38" s="1"/>
  <c r="H136" i="38" s="1"/>
  <c r="D129" i="28"/>
  <c r="H129" i="28" s="1"/>
  <c r="H130" i="29"/>
  <c r="H135" i="29" s="1"/>
  <c r="H136" i="29" s="1"/>
  <c r="G121" i="28"/>
  <c r="G120" i="28"/>
  <c r="G119" i="28"/>
  <c r="G124" i="28"/>
  <c r="H130" i="31"/>
  <c r="H135" i="31"/>
  <c r="D6" i="43" s="1"/>
  <c r="F6" i="43" s="1"/>
  <c r="F130" i="31"/>
  <c r="G124" i="31"/>
  <c r="G126" i="31" s="1"/>
  <c r="F10" i="43"/>
  <c r="F21" i="43"/>
  <c r="G21" i="43" s="1"/>
  <c r="F13" i="43"/>
  <c r="F129" i="28"/>
  <c r="H130" i="28" s="1"/>
  <c r="H135" i="28" s="1"/>
  <c r="H136" i="28" s="1"/>
  <c r="H134" i="28"/>
  <c r="G123" i="6"/>
  <c r="G125" i="6" s="1"/>
  <c r="H116" i="6"/>
  <c r="F129" i="6"/>
  <c r="H129" i="6" s="1"/>
  <c r="H130" i="6" s="1"/>
  <c r="H135" i="6" s="1"/>
  <c r="H136" i="6" s="1"/>
  <c r="H134" i="6"/>
  <c r="G123" i="28" l="1"/>
  <c r="H131" i="31"/>
  <c r="H136" i="31" s="1"/>
  <c r="H137" i="31" s="1"/>
  <c r="G125" i="28"/>
  <c r="F15" i="43"/>
  <c r="F16" i="43" s="1"/>
  <c r="F18" i="43"/>
  <c r="G18" i="43" s="1"/>
  <c r="G23" i="43" s="1"/>
  <c r="D4" i="43"/>
  <c r="F4" i="43" s="1"/>
  <c r="D3" i="43"/>
  <c r="F3" i="43" s="1"/>
  <c r="F8" i="43" l="1"/>
  <c r="F9" i="43" s="1"/>
</calcChain>
</file>

<file path=xl/comments1.xml><?xml version="1.0" encoding="utf-8"?>
<comments xmlns="http://schemas.openxmlformats.org/spreadsheetml/2006/main">
  <authors>
    <author>Autor</author>
  </authors>
  <commentList>
    <comment ref="A3" authorId="0">
      <text>
        <r>
          <rPr>
            <sz val="10"/>
            <color rgb="FF000000"/>
            <rFont val="Arial"/>
            <family val="2"/>
            <charset val="1"/>
          </rPr>
          <t>ESSAS INFORMAÇÕES DEVEM SER REPASSADAS VIA EMAIL PELO SETOR DE LICITAÇÃO</t>
        </r>
      </text>
    </comment>
    <comment ref="H27" authorId="0">
      <text>
        <r>
          <rPr>
            <sz val="10"/>
            <color rgb="FF000000"/>
            <rFont val="Arial"/>
            <family val="2"/>
            <charset val="1"/>
          </rPr>
          <t>COLOCAR O VALOR DA CCT MAS DEIXAR ABERTO PARA FORNECEDOR ALTERAR “ SÓ PODE SER MAIOR QUE A CCT”</t>
        </r>
      </text>
    </comment>
    <comment ref="B28" authorId="0">
      <text>
        <r>
          <rPr>
            <sz val="10"/>
            <color rgb="FF000000"/>
            <rFont val="Arial"/>
            <family val="2"/>
            <charset val="1"/>
          </rPr>
          <t>Previsto em legislação ou acordo coletivo para trabalhos que impliquem em condições de risco à saúde ou integridade física do trabalhador.
30% sobre o salário base.</t>
        </r>
      </text>
    </comment>
    <comment ref="D28" authorId="0">
      <text>
        <r>
          <rPr>
            <sz val="10"/>
            <color rgb="FF000000"/>
            <rFont val="Arial"/>
            <family val="2"/>
            <charset val="1"/>
          </rPr>
          <t>Selecionar:
*Com Periculosidade
* Sem Periculosidade</t>
        </r>
      </text>
    </comment>
    <comment ref="E28" authorId="0">
      <text>
        <r>
          <rPr>
            <sz val="10"/>
            <color rgb="FF000000"/>
            <rFont val="Arial"/>
            <family val="2"/>
            <charset val="1"/>
          </rPr>
          <t>Selecionar 0% quando não houver Periculosidade e 30% quando incidir</t>
        </r>
      </text>
    </comment>
    <comment ref="B29" authorId="0">
      <text>
        <r>
          <rPr>
            <sz val="10"/>
            <color rgb="FF000000"/>
            <rFont val="Arial"/>
            <family val="2"/>
            <charset val="1"/>
          </rPr>
          <t>O salário de referência para cálculo do seu custo é o salário mínimo estadual ou o nacional ou o salário normativo da categoria se expressamente estabelecido no acordo ou convenção coletiva.
São operações que, por sua natureza, condições ou métodos de trabalho, exponham os empregados a agentes nocivos à saúde, acima dos limites de tolerância fixados em razão da natureza e da intensidade do agente e do tempo de exposição aos seus efeitos. (Art. 189, CLT)
Grau máximo: 40%;
Grau médio: 20%;
Grau mínimo: 10%.</t>
        </r>
      </text>
    </comment>
    <comment ref="B31" authorId="0">
      <text>
        <r>
          <rPr>
            <sz val="10"/>
            <color rgb="FF000000"/>
            <rFont val="Arial"/>
            <family val="2"/>
            <charset val="1"/>
          </rPr>
          <t>Verificar as auterações trazidas pela Reforma Trabalhista – Á principio aguardar as Novas CCT´s
Conferido ao trabalhador por trabalho executado entre as 22 horas de um dia e as 5 horas do dia seguinte.
Remunerado com adicional de, pelo menos, 20% sobre a hora diurna.
Adicional noturno para 1 hora trabalhada = Valor da hora diurna X 20%
Valor da hora diurna = Salário base / Total de horas trabalhadas no mês
O total de horas trabalhadas no mês calcula-se considerando 5 semanas de trabalho, conforme determinação do MTE.
Exemplo:
Salário: R$2.200,00
Valor da hora diurna: 2.200,00 / 220 horas (jornada de 44 horas semanais) = R$10,00
Adicional noturno para 1 hora trabalhada = 10,00 X 20% = R$2,00</t>
        </r>
      </text>
    </comment>
    <comment ref="D31" authorId="0">
      <text>
        <r>
          <rPr>
            <sz val="10"/>
            <color rgb="FF000000"/>
            <rFont val="Arial"/>
            <family val="2"/>
            <charset val="1"/>
          </rPr>
          <t>Selecionar entre:
Mínimo
Médio 
Máximo
Sem Insalubridade</t>
        </r>
      </text>
    </comment>
    <comment ref="E31" authorId="0">
      <text>
        <r>
          <rPr>
            <sz val="10"/>
            <color rgb="FF000000"/>
            <rFont val="Arial"/>
            <family val="2"/>
            <charset val="1"/>
          </rPr>
          <t>Selecionar entre:
0%
10%
20%
40%
E o valor da Insalubridade será calculado sobre o valor da salário</t>
        </r>
      </text>
    </comment>
    <comment ref="F31" authorId="0">
      <text>
        <r>
          <rPr>
            <sz val="10"/>
            <color rgb="FF000000"/>
            <rFont val="Arial"/>
            <family val="2"/>
            <charset val="1"/>
          </rPr>
          <t>Digitar valo do Salário Mínimo ou o da Categoria se expressamente estabelecido em Convenção Coletiva</t>
        </r>
      </text>
    </comment>
    <comment ref="B32" authorId="0">
      <text>
        <r>
          <rPr>
            <sz val="10"/>
            <color rgb="FF000000"/>
            <rFont val="Arial"/>
            <family val="2"/>
            <charset val="1"/>
          </rPr>
          <t>Corresponde a 52 minutos e 30 segundos.
A hora noturna adicional corresponde à diferença da hora noturna menos a hora normal.
Hora noturna = Hora normal X (60/52,5)
Hora noturna = Hora normal X 1,14285714
Exemplo:
Salário: R$2.200,00
Valor da hora diurna: 2.200,00 / 220 horas (jornada de 44 horas semanais) = R$10,00
Hora noturna = 10,00 X 1,14285714 = R$11,42
Hora noturna adicional = Hora noturna – Hora normal
Hora noturna adicional = (11,42 X 20%) - (R$10,00 X 20%) = 2,286 – 2,00 = 0,286</t>
        </r>
      </text>
    </comment>
    <comment ref="H33" authorId="0">
      <text>
        <r>
          <rPr>
            <b/>
            <sz val="9"/>
            <color indexed="81"/>
            <rFont val="Tahoma"/>
            <family val="2"/>
          </rPr>
          <t>UFERSA:O adicional noturno influenciará no repouso semanal remunerado, portando para compensar o descanso semanal decorrente do labor noturno, o empregado também terá reflexo em seu descanso remunerado de adicional noturno.  Em decorrência do valor do posto ser mensal, ou seja de um mês qualquer, os dias úteis, domingos e feriados foram tomados como uma média mensal dentro de um período de um ano (2018). Adotamos como o fator multiplicador de 0,229 , igual à (1/média de dias úteis 2018)xmédia de feriados e domingos em  2018.</t>
        </r>
        <r>
          <rPr>
            <sz val="9"/>
            <color indexed="81"/>
            <rFont val="Tahoma"/>
            <family val="2"/>
          </rPr>
          <t xml:space="preserve">
</t>
        </r>
      </text>
    </comment>
    <comment ref="B35" authorId="0">
      <text>
        <r>
          <rPr>
            <sz val="10"/>
            <color rgb="FF000000"/>
            <rFont val="Arial"/>
            <family val="2"/>
            <charset val="1"/>
          </rPr>
          <t>Relativo ao trabalho realizado além da jornada diária regular estabelecida, com acréscimo de no mínimo 50% do valor da hora normal para trabalho extra (entre segunda e sábado) e de 100% em domingos e feriados.
Não pode ser maior do que 2 horas diárias. (Art. 59, CLT)</t>
        </r>
      </text>
    </comment>
    <comment ref="B41" authorId="0">
      <text>
        <r>
          <rPr>
            <b/>
            <sz val="10"/>
            <color rgb="FF000000"/>
            <rFont val="Arial"/>
            <family val="2"/>
            <charset val="1"/>
          </rPr>
          <t>Cálculo de acordo com o Manual para preenchimento de Planilha do MPOG de 2011</t>
        </r>
        <r>
          <rPr>
            <sz val="10"/>
            <color rgb="FF000000"/>
            <rFont val="Arial"/>
            <family val="2"/>
            <charset val="1"/>
          </rPr>
          <t>Considerando que na duração do contrato de 60 meses o empregado tem 5 meses de férias e labora em 56 meses:
(5/56) x 100 = 8,93%;</t>
        </r>
        <r>
          <rPr>
            <b/>
            <sz val="10"/>
            <color rgb="FF000000"/>
            <rFont val="Arial"/>
            <family val="2"/>
            <charset val="1"/>
          </rPr>
          <t>Cálculo de acordo com o Caderno de Logistica/ Serviços de limpeza  MPOG de 2014</t>
        </r>
        <r>
          <rPr>
            <sz val="10"/>
            <color rgb="FF000000"/>
            <rFont val="Arial"/>
            <family val="2"/>
            <charset val="1"/>
          </rPr>
          <t>Para os contratos de 1 ano (12 meses) o empregado trabalha 12 meses e tem direito a 1 mês de férias, o que significa:
(1/12) x 100 = 8,33%.
Por derradeiro a IN 05/2017, trouxe o seguinte texto
Nota 1: Como a planilha de custos e formação de preços é calculada mensalmente, provisiona-se
proporcionalmente 1/12 (um doze avos) dos valores referentes a gratificação natalina e adicional
de férias.</t>
        </r>
        <r>
          <rPr>
            <b/>
            <sz val="10"/>
            <color rgb="FF000000"/>
            <rFont val="Arial"/>
            <family val="2"/>
            <charset val="1"/>
          </rPr>
          <t>( No meu entendimento definiu que o percentual do 13° é de 8,33% ), 
MAS É NECESSÁRIO ESPERAR SAIR O MANUAL DE PREENCHIMENTO DA PLANILHA, TÃO PROMETIDO PARA  SE BATER O MARTELO, POIS COSTUMA UMA PUBLICAÇÃO NÃO BATER COM A OUTRA, SÓ PARA VARIAR.</t>
        </r>
      </text>
    </comment>
    <comment ref="G41" authorId="0">
      <text>
        <r>
          <rPr>
            <b/>
            <sz val="9"/>
            <color rgb="FF000000"/>
            <rFont val="Tahoma"/>
            <family val="2"/>
            <charset val="1"/>
          </rPr>
          <t>Usuário do Windows:</t>
        </r>
        <r>
          <rPr>
            <sz val="9"/>
            <color rgb="FF000000"/>
            <rFont val="Tahoma"/>
            <family val="2"/>
            <charset val="1"/>
          </rPr>
          <t>8,33% ou 8,93% Ler comentário na descrição do item 13º SALÁRIO ao lado</t>
        </r>
      </text>
    </comment>
    <comment ref="B42" authorId="0">
      <text>
        <r>
          <rPr>
            <sz val="10"/>
            <color rgb="FF000000"/>
            <rFont val="Arial"/>
            <family val="2"/>
            <charset val="1"/>
          </rPr>
          <t>.( Art. 129,Art. 130, inciso I da CLT e Art. 7° , inciso XCII da CF/88 [=(1/12)+(1/3)/12]</t>
        </r>
        <r>
          <rPr>
            <b/>
            <sz val="10"/>
            <color rgb="FF000000"/>
            <rFont val="Arial"/>
            <family val="2"/>
            <charset val="1"/>
          </rPr>
          <t>Quando é retido a conta vinculada o calculo deve ser [</t>
        </r>
        <r>
          <rPr>
            <sz val="10"/>
            <color rgb="FF000000"/>
            <rFont val="Arial"/>
            <family val="2"/>
            <charset val="1"/>
          </rPr>
          <t>=(1/11)+(1/3/11) que dá os 12,10% retidos na conta vinculada (calculo CNJ).
A IN 05/2017, trouxe o seguinte texto com relação ao módulo 2.1
Nota 1: Como a planilha de custos e formação de preços é calculada mensalmente, provisiona-se
proporcionalmente 1/12 (um doze avos) dos valores referentes a gratificação natalina e adicional
de férias.</t>
        </r>
        <r>
          <rPr>
            <b/>
            <sz val="10"/>
            <color rgb="FF000000"/>
            <rFont val="Arial"/>
            <family val="2"/>
            <charset val="1"/>
          </rPr>
          <t>( No meu entendimento definiu que o percentual do 13° é de 8,33% ),</t>
        </r>
        <r>
          <rPr>
            <b/>
            <u/>
            <sz val="10"/>
            <color rgb="FF000000"/>
            <rFont val="Arial"/>
            <family val="2"/>
            <charset val="1"/>
          </rPr>
          <t>MAS É NECESSÁRIO ESPERAR SAIR O MANUAL DE PREENCHIMENTO DA PLANILHA, TÃO PROMETIDO PARA BATER O MARTELO, POIS COSTUMA UMA PUBLICAÇÃO NÃO BATER COM A OUTRA, SÓ PARA VARIAR.</t>
        </r>
        <r>
          <rPr>
            <sz val="10"/>
            <color rgb="FF000000"/>
            <rFont val="Arial"/>
            <family val="2"/>
            <charset val="1"/>
          </rPr>
          <t>Nota 2: O adicional de férias contido no Submódulo 2.1 corresponde a 1/3 (um terço) da
remuneração que por sua vez é divido por 12 (doze) conforme Nota 1 acima.</t>
        </r>
        <r>
          <rPr>
            <b/>
            <sz val="10"/>
            <color rgb="FF000000"/>
            <rFont val="Arial"/>
            <family val="2"/>
            <charset val="1"/>
          </rPr>
          <t>( Desta forma também defini que o percentual das férias seria 1/12 * 1/3 que corresponde a 11,11% , mas na cartilha da conta vinculada lançada em fevereiro de 2018, continua 12,10% para ser retido e pago na conta vinculada referente a provisão de férias e 1/3)</t>
        </r>
        <r>
          <rPr>
            <b/>
            <u/>
            <sz val="10"/>
            <color rgb="FF000000"/>
            <rFont val="Arial"/>
            <family val="2"/>
            <charset val="1"/>
          </rPr>
          <t>PORTANTO SE FAZ NECESSÁRIO CONTINUAR USANDO O CALCULO DO CNJ DE 12,10% EM CONTRATOS QUE UTILIZEM CONTA VINCULADA, POIS COMO PODERIAMOS RETER UM VALOR QUE NÃO ESTÁ PROVISIONADO NA PLANILHA)</t>
        </r>
      </text>
    </comment>
    <comment ref="G42" authorId="0">
      <text>
        <r>
          <rPr>
            <b/>
            <sz val="9"/>
            <color rgb="FF000000"/>
            <rFont val="Tahoma"/>
            <family val="2"/>
            <charset val="1"/>
          </rPr>
          <t>Usuário do Windows:</t>
        </r>
        <r>
          <rPr>
            <sz val="9"/>
            <color rgb="FF000000"/>
            <rFont val="Tahoma"/>
            <family val="2"/>
            <charset val="1"/>
          </rPr>
          <t>11,11% ou 12,10% Ler comentário na descrição do item FÉRIAS ao lado</t>
        </r>
      </text>
    </comment>
    <comment ref="B46" authorId="0">
      <text>
        <r>
          <rPr>
            <sz val="10"/>
            <color rgb="FF000000"/>
            <rFont val="Arial"/>
            <family val="2"/>
            <charset val="1"/>
          </rPr>
          <t>Contribuição de 20% sobre o total das remunerações destinada à Seguridade Social, conforme determina a Lei 8.212/91.</t>
        </r>
      </text>
    </comment>
    <comment ref="B47" authorId="0">
      <text>
        <r>
          <rPr>
            <sz val="10"/>
            <color rgb="FF000000"/>
            <rFont val="Arial"/>
            <family val="2"/>
            <charset val="1"/>
          </rPr>
          <t>Contribuições sociais destinadas ao Serviço Social da Indústria (SESI) e ao Serviço Social do Comércio (SESC). As empresas optantes pelo Simples Nacional são isentas. Para as demais empresas fica determinado o percentual de 1,5%.</t>
        </r>
      </text>
    </comment>
    <comment ref="D47" authorId="0">
      <text>
        <r>
          <rPr>
            <sz val="10"/>
            <color rgb="FF000000"/>
            <rFont val="Arial"/>
            <family val="2"/>
            <charset val="1"/>
          </rPr>
          <t>Usuário do Windows:
EMPRESAS OPTATANTES PELO SIMPLES ESTÃO ISENTAS DO PAGAMENTO DAS SEGUINTES CONTRIBUIÇÕES:  SESI ou SESC, SENAI ou SENAC, INCRA, Salário-Educação, SEBRAE, Portanto devem ser zeradas na Planilha.
Empresas de sessão de mão de obra não podem ser optantes pelo Simples com excessão das empresas que prestam serviços de serviços de vigilância, limpeza ou conservação desde que não exerçam em conjunto com outras atividades vedadas,c) Regime de Tributação – SIMPLES –Regime Especial Unificado de Arrecadação de Tributos e Contribuições – Microempresas (MEs) e Empresas de Pequeno Porte (EPPs) O SIMPLES consiste em um regime especial unificado de arrecadação de Tributos e Contribuições devidos pelas Microempresas e Empresas de Pequeno Porte, instituído pela Lei Complementar nº 123, de 14 de dezembro de 2006. Lembramos ainda que as microempresas e empresas de pequeno porte optantes pelo Simples Nacional ficam dispensadas do pagamento das demais contribuições instituídas pela União, tais como SESI ou SESC, SENAI ou SENAC, INCRA, Salário-Educação, SEBRAE, conforme expressa previsão legal contida no art. 13, § 3º da Lei Complementar nº 123/2006: § 3º  As microempresas e empresas de pequeno porte optantes pelo Simples Nacional ficam dispensadas do pagamento das demais contribuições instituídas pela União, inclusive as contribuições para as entidades privadas de serviço social e de formação profissional vinculadas ao sistema sindical, de que trata o art. 240 da Constituição Federal, e demais entidades de serviço social autônomo. Nem todas as microempresas ou empresas de pequeno porte poderão recolher os impostos e contribuições na forma do Simples, como por exemplo, as empresas que exercem atividade de cessão ou locação de mão de obra8. As vedações ao ingresso no Simples Nacional estão previstas no art. 17 da Lei Complementar nº 123/2006. 
8 Entende-se por cessão de mão de obra a colocação à disposição da empresa contratante, em suas dependências ou nas de terceiros, de trabalhadores que realizem serviços contínuos, relacionados ou não com sua atividade fim, quaisquer que sejam a natureza e a forma de contratação, inclusive por meio de trabalho temporário na forma da Lei nº 6.019, de 3 de janeiro de 1974. (art.115 Instrução Normativa RFB nº 971, de 13 de novembro de 2009)
117
CAPÍTULO VI – COMPOSIÇÃO DA PLANILHA DE CUSTO E FORMAÇÃO DE PREÇO 
Art. 17. Não poderão recolher os impostos e contribuições na forma do Simples Nacional a microempresa ou a empresa de pequeno porte: (...) XII – que realize cessão ou locação de mão de obra; É importante ressaltar que as vedações previstas no caput do art. 17 da LC nº 123/2006 não se aplicam às pessoas jurídicas que se dediquem exclusivamente às atividades referidas nos §§ 5o-B a 5o-E do art. 18 da Lei Complementar multicitada, ou as exerçam em conjunto com outras atividades que não tenham sido objeto de vedação no mesmo caput. Não se incluem nas vedações, por exemplo, as empresas que prestam serviços de vigilância, limpeza ou conservação desde que não exerçam em conjunto com outras atividades vedadas.
LC 123/2006 – §§ 5o-B a 5o-E do art. 18 da Lei Complementar nº 123/2006 § 5º-H.  A vedação de que trata o inciso XII do caput do art. 17 desta Lei Complementar não se aplica às atividades referidas no § 5º-C deste artigo. (Incluído pela Lei Complementar nº 128, de 2008) § 5º-C.  Sem prejuízo do disposto no § 1º do art. 17 desta Lei Complementar, as atividades de prestação de serviços seguintes serão tributadas na forma do Anexo IV desta Lei Complementar, hipótese em que não estará incluída no Simples Nacional a contribuição prevista no inciso VI do caput do art. 13 desta Lei Complementar, devendo ela ser recolhida segundo a legislação prevista para os demais contribuintes ou responsáveis: (Incluído pela Lei Complementar nº 128, de 2008) (...) VI – serviço de vigilância, limpeza ou conservação. (Incluído pela Lei Complementar nº 128, de 2008)</t>
        </r>
      </text>
    </comment>
    <comment ref="G47" authorId="0">
      <text>
        <r>
          <rPr>
            <sz val="9"/>
            <color rgb="FF000000"/>
            <rFont val="Tahoma"/>
            <family val="2"/>
            <charset val="1"/>
          </rPr>
          <t>Zerar se for optante pelo simples</t>
        </r>
      </text>
    </comment>
    <comment ref="B48" authorId="0">
      <text>
        <r>
          <rPr>
            <sz val="10"/>
            <color rgb="FF000000"/>
            <rFont val="Arial"/>
            <family val="2"/>
            <charset val="1"/>
          </rPr>
          <t>Contribuição ao Serviço Nacional de Aprendizagem Industrial (SENAI) e ao Serviço Nacional de Aprendizagem Comercial (SENAC). As empresas optantes pelo Simples Nacional são isentas. Para as demais empresas com menos de 500 empregados a incidência é de 1% e para as empresas com mais de 500 empregados a incidência é de 1,2%.</t>
        </r>
      </text>
    </comment>
    <comment ref="G48" authorId="0">
      <text>
        <r>
          <rPr>
            <b/>
            <sz val="9"/>
            <color rgb="FF000000"/>
            <rFont val="Tahoma"/>
            <family val="2"/>
            <charset val="1"/>
          </rPr>
          <t>Usuário do Windo</t>
        </r>
        <r>
          <rPr>
            <sz val="9"/>
            <color rgb="FF000000"/>
            <rFont val="Tahoma"/>
            <family val="2"/>
            <charset val="1"/>
          </rPr>
          <t>Zerar se for optante pelo simples</t>
        </r>
      </text>
    </comment>
    <comment ref="B49" authorId="0">
      <text>
        <r>
          <rPr>
            <sz val="10"/>
            <color rgb="FF000000"/>
            <rFont val="Arial"/>
            <family val="2"/>
            <charset val="1"/>
          </rPr>
          <t>Contribuição ao Instituto Nacional de Colonização e Reforma Agrária. As empresas optantes pelo Simples Nacional são isentas e as demais empresas pagam um percentual de 0,2%.</t>
        </r>
      </text>
    </comment>
    <comment ref="G49" authorId="0">
      <text>
        <r>
          <rPr>
            <b/>
            <sz val="9"/>
            <color rgb="FF000000"/>
            <rFont val="Tahoma"/>
            <family val="2"/>
            <charset val="1"/>
          </rPr>
          <t>Usuário do Windows:</t>
        </r>
        <r>
          <rPr>
            <sz val="9"/>
            <color rgb="FF000000"/>
            <rFont val="Tahoma"/>
            <family val="2"/>
            <charset val="1"/>
          </rPr>
          <t>Zerar se for optante pelo simples</t>
        </r>
      </text>
    </comment>
    <comment ref="B50" authorId="0">
      <text>
        <r>
          <rPr>
            <sz val="10"/>
            <color rgb="FF000000"/>
            <rFont val="Arial"/>
            <family val="2"/>
            <charset val="1"/>
          </rPr>
          <t>Contribuição social destinada ao financiamento da educação básica nos termos da Constituição Federal à base de 2,5%. As empresas optantes pelo Simples Nacional são isentas.</t>
        </r>
      </text>
    </comment>
    <comment ref="G50" authorId="0">
      <text>
        <r>
          <rPr>
            <b/>
            <sz val="9"/>
            <color rgb="FF000000"/>
            <rFont val="Tahoma"/>
            <family val="2"/>
            <charset val="1"/>
          </rPr>
          <t>Usuário do Windows:</t>
        </r>
        <r>
          <rPr>
            <sz val="9"/>
            <color rgb="FF000000"/>
            <rFont val="Tahoma"/>
            <family val="2"/>
            <charset val="1"/>
          </rPr>
          <t>Zerar se for optante pelo simples</t>
        </r>
      </text>
    </comment>
    <comment ref="B51" authorId="0">
      <text>
        <r>
          <rPr>
            <sz val="10"/>
            <color rgb="FF000000"/>
            <rFont val="Arial"/>
            <family val="2"/>
            <charset val="1"/>
          </rPr>
          <t>O Fundo de Garantia do Tempo de Serviço (FGTS) constitui-se em um pecúlio disponibilizado quando da aposentadoria ou morte do trabalhador e representa uma garantia para a indenização do tempo de serviço nos casos de demissão imotivada. É garantido pela Constituição Federal à base de 8%.</t>
        </r>
      </text>
    </comment>
    <comment ref="B52" authorId="0">
      <text>
        <r>
          <rPr>
            <sz val="10"/>
            <color rgb="FF000000"/>
            <rFont val="Arial"/>
            <family val="2"/>
            <charset val="1"/>
          </rPr>
          <t>Contribuição destinada a custear benefícios concedidos em razão do grau de incidência de incapacidade laborativa decorrentes dos riscos ambientais do trabalho. Pode ser estabelecido em:
SEG.ACID.TRAB. FAP X RAT ( Art. 22,II, da Lei n° 8.212/91).Alíquotas do SAT em função do FAP(Decreto n° 6.042/07 e n° 6.957/09).Fap(Anexo da RESOLUÇÃO mps/cnps n° 1.316/10)=alíquota do FAPx perc. Do SAT
Esses Perecentuais devem ser conferidos pelo pregoeiro e equipe de apoio, com base na GFIP
1% quando o risco de acidentes do trabalho for considerado leve.
2% quando o risco de acidentes do trabalho for considerado médio.
3% quando o risco de acidentes do trabalho for considerado grave.</t>
        </r>
      </text>
    </comment>
    <comment ref="G52" authorId="0">
      <text>
        <r>
          <rPr>
            <b/>
            <sz val="9"/>
            <color rgb="FF000000"/>
            <rFont val="Tahoma"/>
            <family val="2"/>
            <charset val="1"/>
          </rPr>
          <t>Usuário do Windows:</t>
        </r>
        <r>
          <rPr>
            <sz val="9"/>
            <color rgb="FF000000"/>
            <rFont val="Tahoma"/>
            <family val="2"/>
            <charset val="1"/>
          </rPr>
          <t>JURISPRUDÊNCIA - TCU (Acórdão  2.554/2010 - Primeira Câmara) 
7. Com relação aos itens de custo não cotados ou cotados a menor pela empresa vencedora do certame (como o “Seguro de Acidente de Trabalho”, a “Assistência Social Familiar Sindical”, a “Assistência Social” e os benefícios indiretos concedidos pelas empresas aos empregados),</t>
        </r>
        <r>
          <rPr>
            <b/>
            <sz val="9"/>
            <color rgb="FF000000"/>
            <rFont val="Tahoma"/>
            <family val="2"/>
            <charset val="1"/>
          </rPr>
          <t>não chegam a invalidar a proposta da licitante, mas devem ser objeto de acompanhamento pelo CBPF,</t>
        </r>
        <r>
          <rPr>
            <sz val="9"/>
            <color rgb="FF000000"/>
            <rFont val="Tahoma"/>
            <family val="2"/>
            <charset val="1"/>
          </rPr>
          <t>com a verificação do cumprimento, pela contratada, de suas obrigações trabalhistas em conformidade com a legislação, de forma a resguardar a Administração de eventual responsabilização solidária</t>
        </r>
        <r>
          <rPr>
            <b/>
            <sz val="9"/>
            <color rgb="FF000000"/>
            <rFont val="Tahoma"/>
            <family val="2"/>
            <charset val="1"/>
          </rPr>
          <t>, não podendo essas obrigações importar em eventual acréscimo contratual, considerando que a empresa tem o dever de honrar sua proposta na licitação,</t>
        </r>
        <r>
          <rPr>
            <sz val="9"/>
            <color rgb="FF000000"/>
            <rFont val="Tahoma"/>
            <family val="2"/>
            <charset val="1"/>
          </rPr>
          <t>prestando os serviços contratados pelo preço acordado entre as partes</t>
        </r>
      </text>
    </comment>
    <comment ref="B53" authorId="0">
      <text>
        <r>
          <rPr>
            <sz val="10"/>
            <color rgb="FF000000"/>
            <rFont val="Arial"/>
            <family val="2"/>
            <charset val="1"/>
          </rPr>
          <t>Contribuição social repassada ao Serviço Brasileiro de Apoio à Pequena e Média Empresa (SEBRAE), destinado a custear os programas de apoio à pequena e média empresa à base de 0,6%. As empresas optantes pelo Simples Nacional são isentas.</t>
        </r>
      </text>
    </comment>
    <comment ref="G53" authorId="0">
      <text>
        <r>
          <rPr>
            <b/>
            <sz val="9"/>
            <color rgb="FF000000"/>
            <rFont val="Tahoma"/>
            <family val="2"/>
            <charset val="1"/>
          </rPr>
          <t>Usuário do Windows:</t>
        </r>
        <r>
          <rPr>
            <sz val="9"/>
            <color rgb="FF000000"/>
            <rFont val="Tahoma"/>
            <family val="2"/>
            <charset val="1"/>
          </rPr>
          <t>Zerar se for optante pelo simples</t>
        </r>
      </text>
    </comment>
    <comment ref="G60" authorId="0">
      <text>
        <r>
          <rPr>
            <sz val="10"/>
            <color rgb="FF000000"/>
            <rFont val="Arial"/>
            <family val="2"/>
            <charset val="1"/>
          </rPr>
          <t>Pode variar conforme CCT. Sempre verificar.</t>
        </r>
      </text>
    </comment>
    <comment ref="B73" authorId="0">
      <text>
        <r>
          <rPr>
            <b/>
            <sz val="9"/>
            <color rgb="FF000000"/>
            <rFont val="Tahoma"/>
            <family val="2"/>
            <charset val="1"/>
          </rPr>
          <t>Usuário do Windows:</t>
        </r>
        <r>
          <rPr>
            <sz val="9"/>
            <color rgb="FF000000"/>
            <rFont val="Tahoma"/>
            <family val="2"/>
            <charset val="1"/>
          </rPr>
          <t>FUNDAMENTAÇÃO LEGAL - Constituição Federal de 1988 (Art. 7°, inciso XXI) - CLT (Art. 477, art. 487 a 491) - Observação (1) - Aviso Prévio Indenizado – Estudos CNJ – Resolução 98/2009  Aviso Prévio indenizado - 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término do contrato de trabalho. Cálculo ((1/12)x 0,05) x 100 =0,42%.</t>
        </r>
      </text>
    </comment>
    <comment ref="B74" authorId="0">
      <text>
        <r>
          <rPr>
            <b/>
            <sz val="9"/>
            <color rgb="FF000000"/>
            <rFont val="Tahoma"/>
            <family val="2"/>
            <charset val="1"/>
          </rPr>
          <t>Usuário do Windows:</t>
        </r>
        <r>
          <rPr>
            <sz val="9"/>
            <color rgb="FF000000"/>
            <rFont val="Tahoma"/>
            <family val="2"/>
            <charset val="1"/>
          </rPr>
          <t>aplicar o percentual do FGTS sobre o Aviso Prévio Indenizado.</t>
        </r>
        <r>
          <rPr>
            <b/>
            <sz val="9"/>
            <color rgb="FF000000"/>
            <rFont val="Tahoma"/>
            <family val="2"/>
            <charset val="1"/>
          </rPr>
          <t>Ex 8% X 0,42% = 0,03%</t>
        </r>
      </text>
    </comment>
    <comment ref="B75" authorId="0">
      <text>
        <r>
          <rPr>
            <b/>
            <sz val="9"/>
            <color rgb="FF000000"/>
            <rFont val="Tahoma"/>
            <family val="2"/>
            <charset val="1"/>
          </rPr>
          <t>Usuário do Windows:</t>
        </r>
        <r>
          <rPr>
            <sz val="9"/>
            <color rgb="FF000000"/>
            <rFont val="Tahoma"/>
            <family val="2"/>
            <charset val="1"/>
          </rPr>
          <t>FUNDAMENTAÇÃO LEGAL - Jurisprudência - TCU (Acórdão 2.217/2010 – Plenário - vide apêndice pág. 52)
49 Multa do FGTS do aviso prévio indenizado: valor da multa do FGTS indenizado (40%) + contribuição social sobre o FGTS (10%), que incide sobre a alíquota do FGTS (8%) aplicado sobre o custo de referência do aviso prévio indenizado.
 FUNDAMENTAÇÃO LEGAL - Lei nº 8.036, de 11 de maio de 1990 (Art. 18 § 1º) com redação dada pela Lei nº 9.491, de 9 de setembro de 1997. - Lei Complementar nº 110, de 29 de junho de 2001. (Art. 1°) - Observação (2) - Aviso Prévio Indenizado – Estudos CNJ – Resolução 98/2009 Multa FGTS - Rescisão sem Justa Causa: A Lei Complementar nº 110, de 29 de junho de 2001, determina multa de 50%, da soma dos depósitos do FGTS, no caso de rescisão sem justa causa. Considerando que 10% dos empregados pedem contas, essa penalidade recai sobre os 90% remanescentes. Considerando o pagamento da multa para os valores depositados relativos a salários, férias e 13º salário o cálculo dessa provisão corresponde a: 0,08 x 0,5 x 0,9 x (1 + 5/56 + 5/56 + 1/3 * 5/56) = 4,35%.</t>
        </r>
      </text>
    </comment>
    <comment ref="G75" authorId="0">
      <text>
        <r>
          <rPr>
            <b/>
            <sz val="10"/>
            <color rgb="FF000000"/>
            <rFont val="Arial"/>
            <family val="2"/>
            <charset val="1"/>
          </rPr>
          <t>1°- Não havendo conta vinculada o valor de referência estabelecido no Manual de preenchimento de planilhas do MPOG é de 4,35% APT+API.
FUNDAMENTAÇÃO LEGAL -</t>
        </r>
        <r>
          <rPr>
            <sz val="10"/>
            <color rgb="FF000000"/>
            <rFont val="Arial"/>
            <family val="2"/>
            <charset val="1"/>
          </rPr>
          <t>Lei nº 8.036, de 11 de maio de 1990 (Art. 18 § 1º) com redação dada pela Lei nº 9.491, de 9 de setembro de 1997. - Lei Complementar nº 110, de 29 de junho de 2001. (Art. 1°) -Aviso Prévio Indenizado – Estudos CNJ – Resolução 98/2009 Multa FGTS - Rescisão sem Justa Causa: A Lei Complementar nº 110, de 29 de junho de 2001, determina multa de 50%, da soma dos depósitos do FGTS, no caso de rescisão sem justa causa. Considerando que 10% dos empregados pedem contas, essa penalidade recai sobre os 90% remanescentes.Considerando o pagamento da multa para os valores depositados relativos a salários, férias e 13º salário o cálculo dessa provisão corresponde a: 0,08 x 0,5 x 0,9 x (1 + 5/56 + 5/56 + 1/3 * 5/56) = 4,35%.Onde 0,08 Corresponde ao % dop FGTS;  0,5 é os 50% da multa FGTS ; 0,9 corresponde é o percentual de funcionários que são demitidos sem justa causa;( 1 representa uma remuneração; 5/56 representa 5 meses de férias que um funcionário dentro de um periodo de 56 meses este raciocionio vale para férias e 13° e por fim 1/3 de 5/56 que é um terço constitucional de féria).
---------------------------------------------------------------------------------------------------------------------
2° Quando for exigido conta vinculada :Conforme orientações do MPOG, Quando houver conta vinculada, tanto para o Aviso Prévio Trabalhado quanto para o Aviso Prévio Indenizado, a porcentagem que irá incidir é de 5% soma dos dois avisos (API+APT) sobre o custo de referência.
E também foi orientado que está correto o raciocínio de ponderar os 5% entre o API e o APT, não precisando ser exatamente 50% pra cada. Isso dependerá das características intrínsecas de cada empresa e tipo de serviço, podendo ser definido pelo fornecedor desde que os 2 itens fechem em 5% no caso de ter conta vinculada.</t>
        </r>
      </text>
    </comment>
    <comment ref="B76" authorId="0">
      <text>
        <r>
          <rPr>
            <b/>
            <sz val="9"/>
            <color rgb="FF000000"/>
            <rFont val="Tahoma"/>
            <family val="2"/>
            <charset val="1"/>
          </rPr>
          <t>Usuário do Windows:</t>
        </r>
        <r>
          <rPr>
            <sz val="9"/>
            <color rgb="FF000000"/>
            <rFont val="Tahoma"/>
            <family val="2"/>
            <charset val="1"/>
          </rPr>
          <t>[(1 salário integral / 30 dias) x 7 dias] / 12 meses = 1,94% é o índice.Acórdão 1186/2017 Plenário (Auditoria, Relator Ministro-Substituto Augusto Sherman)
Licitação. Orçamento estimativo. Encargos sociais. Aviso prévio. Terceirização. Limite máximo. Prorrogação de contrato.
Nas licitações para contratação de mão de obra terceirizada, a Administração deve estabelecer na minuta do contrato que a parcela mensal a título de aviso prévio trabalhado será no percentualmáximo de 1,94% no primeiro ano, e, em caso de prorrogação do contrato, o percentual máximo dessa parcela será de0,194% a cada ano de prorrogação, a ser incluído por ocasião da formulação do aditivo da prorrogação do contrato, conforme a Lei 12.506/2011.</t>
        </r>
      </text>
    </comment>
    <comment ref="G82" authorId="0">
      <text>
        <r>
          <rPr>
            <sz val="10"/>
            <color rgb="FF000000"/>
            <rFont val="Arial"/>
            <family val="2"/>
            <charset val="1"/>
          </rPr>
          <t>Opnião Edilson:
A IN 05/2017, trouxe uma novidade com relação as férias, antes tinhamos calculado separado neste campo o %  das férias e em outro campo o % do (1/3) terço constitucional que no cálculo do CNJ seria 12,10%.
Mas  agora  a IN 05/2017, trouxe no submódulo 2.1 as férias e o 1/3 juntos, e repetiu o item  férias mais uma vez no Módulo 4 - como Custo de Reposição do Profissional Ausente.
Tenho visto alguns colocarem novamente o percentual de 12,10% ou 11,11%, o que no meu ponto está redondamente errado.
 O Texto da IN 05/2017 trouxe o seguinte texto:
Nota: As alíneas “A” a “F” referem-se somente ao custo que será pago ao repositor pelos dias
trabalhados</t>
        </r>
        <r>
          <rPr>
            <b/>
            <u/>
            <sz val="10"/>
            <color rgb="FF000000"/>
            <rFont val="Arial"/>
            <family val="2"/>
            <charset val="1"/>
          </rPr>
          <t>quando da necessidade de substituir</t>
        </r>
        <r>
          <rPr>
            <sz val="10"/>
            <color rgb="FF000000"/>
            <rFont val="Arial"/>
            <family val="2"/>
            <charset val="1"/>
          </rPr>
          <t>a mão de obra alocada na prestação do serviço.
Com base neste texto, até que saia o manual de preenchimento da planilha existem 2 opções:
1° Deixar em Branco: já que é novo e o valor é irrisório.
2° Calcular o percentual das férias+1 /3  + 13° salário e dividir por 12 e os seus reflexos que já seram automaticamente cáculados na letra F ( incidencia submodulo 2.1).</t>
        </r>
      </text>
    </comment>
    <comment ref="F83" authorId="0">
      <text>
        <r>
          <rPr>
            <b/>
            <sz val="9"/>
            <color rgb="FF000000"/>
            <rFont val="Tahoma"/>
            <family val="2"/>
            <charset val="1"/>
          </rPr>
          <t>Usuário do Windows:
CUSTO NÃO RENOVÁVEL :</t>
        </r>
        <r>
          <rPr>
            <sz val="9"/>
            <color rgb="FF000000"/>
            <rFont val="Tahoma"/>
            <family val="2"/>
            <charset val="1"/>
          </rPr>
          <t>VALE LEMBRAR QUE POR OCASIÃO DAS PRORROGAÇÕES DEVE SE VERIFICAR SE ESSE VALOR PROVISIONADO FOI UTILIZADO, SE NÃO FOR OU FOR UTILIZADO EM PARTES, DEVE SER RETIRADO OU COLOCADO PROPORCIONALMENTE O % UTILIZADO.</t>
        </r>
        <r>
          <rPr>
            <b/>
            <sz val="9"/>
            <color rgb="FF000000"/>
            <rFont val="Tahoma"/>
            <family val="2"/>
            <charset val="1"/>
          </rPr>
          <t>(O RACIOCÍNIO VALE PARA TODOS OS ITENS DESTA TABELA DO SUBMÓDULO 4.1)</t>
        </r>
      </text>
    </comment>
    <comment ref="G83" authorId="0">
      <text>
        <r>
          <rPr>
            <sz val="10"/>
            <color rgb="FF000000"/>
            <rFont val="Arial"/>
            <family val="2"/>
            <charset val="1"/>
          </rPr>
          <t>Ausências previstas na legislação vigente que é composta por um conjunto de casos em que o funcionário pode se ausentar sem perda da remuneração.
Considerando que o empregado tenha apenas uma falta legal durante o período de 1 ano, temos:
Cálculo:
1/360 = 0,002777 = 0,27%
Esse valor pode variar conforme dados estatísticos da empresa.</t>
        </r>
      </text>
    </comment>
    <comment ref="G84" authorId="0">
      <text>
        <r>
          <rPr>
            <sz val="10"/>
            <color rgb="FF000000"/>
            <rFont val="Arial"/>
            <family val="2"/>
            <charset val="1"/>
          </rPr>
          <t>Concede ao empregado o direito de ausentar-se do serviço por cinco dias quando do nascimento de filho. De acordo com o IBGE, nascem filhos de 1,5% dos trabalhadores no período de um ano. Dessa forma a provisão para este item corresponde a:
((5/30)/12) x 0,015 x 100 = 0,02%
Esse valor pode variar conforme dados estatísticos da empresa.</t>
        </r>
      </text>
    </comment>
    <comment ref="F85" authorId="0">
      <text>
        <r>
          <rPr>
            <b/>
            <sz val="9"/>
            <color indexed="81"/>
            <rFont val="Tahoma"/>
            <family val="2"/>
          </rPr>
          <t>UFERSA:</t>
        </r>
        <r>
          <rPr>
            <sz val="9"/>
            <color indexed="81"/>
            <rFont val="Tahoma"/>
            <family val="2"/>
          </rPr>
          <t xml:space="preserve">
O auxílio-acidente é o afastamento por mais de 15 dias do trabalho em
virtude de acidentes no exercício da atividade profissional, ou doenças adquiridas ou desencadeadas pelo exercício do trabalho ou das condições em que este é realizado e com ele se relacione diretamente. O custo estimado nessa rubrica corresponde apenas aos primeiros 15 dias, o qual é obrigação da empresa a cobertura do mesmo, sendo após 15 dias, o benefício será coberto pela Previdência Social. O percentual de 0,06% é igual ao número de dias cobertos pela empresa em um mês dentro de um ano multiplicado por 1,33%  conforme  Anuário Estatístico de Acidentes do Trabalho-2016(AEAT/INSS2016)(http://sa.previdencia.gov.br/site/2018/04/AEAT-2016.pdf). 
</t>
        </r>
      </text>
    </comment>
    <comment ref="G85" authorId="0">
      <text>
        <r>
          <rPr>
            <sz val="10"/>
            <color rgb="FF000000"/>
            <rFont val="Arial"/>
            <family val="2"/>
            <charset val="1"/>
          </rPr>
          <t>Valor do custo referente aos 15 primeiros dias em que o empregado encontra-se afastado por acidente de trabalho e a empresa contratada tem o dever de remunerá-lo. Após esse período o ônus passa a ser do INSS. De acordo com os números mais recentes apresentados pelo Ministério da Previdência e Assistência Social, baseados em informações prestadas pelos empregadores, por meio de GFIP, 0,78% dos empregados se acidentam no ano. Assim, a provisão corresponde a:
((15/30)/12) x 0,0078 x 100 = 0,03%
Esse valor pode variar conforme dados estatísticos da empresa.</t>
        </r>
      </text>
    </comment>
    <comment ref="B87" authorId="0">
      <text>
        <r>
          <rPr>
            <b/>
            <sz val="9"/>
            <color rgb="FF000000"/>
            <rFont val="Tahoma"/>
            <family val="2"/>
            <charset val="1"/>
          </rPr>
          <t>Usuário do Windows:</t>
        </r>
        <r>
          <rPr>
            <sz val="9"/>
            <color rgb="FF000000"/>
            <rFont val="Tahoma"/>
            <family val="2"/>
            <charset val="1"/>
          </rPr>
          <t>Esse item (Ausência por doença), foi exlcuido do modelo de tabela da IN05/2017, mas não foi dito o motivo, nem mesmo se deveria ser computado por exemplo com o item Ausências Legais,</t>
        </r>
        <r>
          <rPr>
            <b/>
            <sz val="9"/>
            <color rgb="FF000000"/>
            <rFont val="Tahoma"/>
            <family val="2"/>
            <charset val="1"/>
          </rPr>
          <t>enquanto não sai o manual de prenchimento de planilha</t>
        </r>
        <r>
          <rPr>
            <sz val="9"/>
            <color rgb="FF000000"/>
            <rFont val="Tahoma"/>
            <family val="2"/>
            <charset val="1"/>
          </rPr>
          <t>prometido pelo Ministério do Planejamento acho prudente continuar usando o percentual por se tratar do mais impactante na planilha de custos.</t>
        </r>
      </text>
    </comment>
    <comment ref="G87" authorId="0">
      <text>
        <r>
          <rPr>
            <sz val="10"/>
            <color rgb="FF000000"/>
            <rFont val="Arial"/>
            <family val="2"/>
            <charset val="1"/>
          </rPr>
          <t>Esta parcela refere-se aos dias em que o empregado fica doente e a contratada deve providenciar sua substituição. Entendemos que deva ser adotado 5,96 dias, conforme consta no memorial de cálculo encaminhado pelo MP, devendo-se converter esses dias em mês e depois dividi-lo pelo número de meses no ano. (Acórdão 1753/2008 – Plenário TCU)
Cálculo:
(5,96/30)/12 x 100 = 1,66%;
Esse valor pode variar conforme dados estatísticos da empresa.</t>
        </r>
      </text>
    </comment>
    <comment ref="B93" authorId="0">
      <text>
        <r>
          <rPr>
            <b/>
            <sz val="9"/>
            <color rgb="FF000000"/>
            <rFont val="Tahoma"/>
            <family val="2"/>
            <charset val="1"/>
          </rPr>
          <t>Usuário do Windows:</t>
        </r>
        <r>
          <rPr>
            <sz val="9"/>
            <color rgb="FF000000"/>
            <rFont val="Tahoma"/>
            <family val="2"/>
            <charset val="1"/>
          </rPr>
          <t>Texto extraído da IN 05/2017 
Nota: Quando houver a necessidade de reposição de um empregado durante sua ausência nos casos de intervalo para repouso ou alimentação deve-se contemplar o Submódulo 4.2.</t>
        </r>
      </text>
    </comment>
    <comment ref="B107" authorId="0">
      <text>
        <r>
          <rPr>
            <b/>
            <sz val="9"/>
            <color rgb="FF000000"/>
            <rFont val="Tahoma"/>
            <family val="2"/>
            <charset val="1"/>
          </rPr>
          <t>Usuário do Windows:</t>
        </r>
        <r>
          <rPr>
            <sz val="9"/>
            <color rgb="FF000000"/>
            <rFont val="Tahoma"/>
            <family val="2"/>
            <charset val="1"/>
          </rPr>
          <t> Definição
Correspondem aos dispêndios relativos aos custos indiretos, tributos e lucros. Na metodologia de cálculo dos valores limites é denominado CITL.</t>
        </r>
      </text>
    </comment>
    <comment ref="F108" authorId="0">
      <text>
        <r>
          <rPr>
            <b/>
            <sz val="9"/>
            <color rgb="FF000000"/>
            <rFont val="Tahoma"/>
            <family val="2"/>
            <charset val="1"/>
          </rPr>
          <t>Usuário do Windows:
Texto extraído do Manual de preenchimento de Planilha MPOG 2011</t>
        </r>
        <r>
          <rPr>
            <sz val="9"/>
            <color rgb="FF000000"/>
            <rFont val="Tahoma"/>
            <family val="2"/>
            <charset val="1"/>
          </rPr>
          <t>Nota Explicativa: 
Custos indiretos: são os gastos da contratada com sua estrutura administrativa, organizacional e gerenciamento de seus contratos, tais como as despesas relativas a: a) funcionamento e manutenção da sede, tais como aluguel, água, luz, telefone, o Imposto Predial Territorial Urbano – IPTU, dentre outros; b) pessoal administrativo; c) material e equipamentos de escritório; d) supervisão de serviços;  e) seguros.
 -</t>
        </r>
        <r>
          <rPr>
            <b/>
            <sz val="9"/>
            <color rgb="FF000000"/>
            <rFont val="Tahoma"/>
            <family val="2"/>
            <charset val="1"/>
          </rPr>
          <t>Observação (1) -  No cálculo dos valores limites para os serviços de vigilância e limpeza foram estabelecidos os percentuais de 6% e 3% respectivamente</t>
        </r>
        <r>
          <rPr>
            <sz val="9"/>
            <color rgb="FF000000"/>
            <rFont val="Tahoma"/>
            <family val="2"/>
            <charset val="1"/>
          </rPr>
          <t>. Os custos indiretos são calculados mediante incidência daqueles percentuais sobre o somatório da remuneração, benefícios mensais e diários, insumos diversos, encargos sociais e trabalhistas.</t>
        </r>
        <r>
          <rPr>
            <b/>
            <sz val="12"/>
            <color rgb="FFFF0000"/>
            <rFont val="Tahoma"/>
            <family val="2"/>
            <charset val="1"/>
          </rPr>
          <t>Na verdade o esse texto traz arredondamentos, sendo que a Margem de lucro definida em estudo na Caderno de Limpeza do MPOG 2014 é</t>
        </r>
        <r>
          <rPr>
            <b/>
            <sz val="12"/>
            <color rgb="FF000000"/>
            <rFont val="Tahoma"/>
            <family val="2"/>
            <charset val="1"/>
          </rPr>
          <t>de 6,79% para Lucro e 3% para Custos Indiretos</t>
        </r>
        <r>
          <rPr>
            <b/>
            <sz val="12"/>
            <color rgb="FFFF0000"/>
            <rFont val="Tahoma"/>
            <family val="2"/>
            <charset val="1"/>
          </rPr>
          <t>, para os serviços de Vigilância e limpeza</t>
        </r>
        <r>
          <rPr>
            <sz val="9"/>
            <color rgb="FF000000"/>
            <rFont val="Tahoma"/>
            <family val="2"/>
            <charset val="1"/>
          </rPr>
          <t>________________________________________________________________________________________________________________</t>
        </r>
        <r>
          <rPr>
            <b/>
            <sz val="9"/>
            <color rgb="FF000000"/>
            <rFont val="Tahoma"/>
            <family val="2"/>
            <charset val="1"/>
          </rPr>
          <t>IN nº 05/17 – anexo vii-a</t>
        </r>
        <r>
          <rPr>
            <sz val="9"/>
            <color rgb="FF000000"/>
            <rFont val="Tahoma"/>
            <family val="2"/>
            <charset val="1"/>
          </rPr>
          <t>9.2  Consideram-se preços manifestamente inexeqüíveis aqueles que, comprovadamente, forem insuficientes para a cobertura dos custos decorrentes da contratação pretendida.
9.3 A inexeqüibilidade dos valores referentes a itens isolados da planilha de custos  e formação de preços não caracteriza motivo suficiente para a desclassificação da proposta, , desde que não contrariem exigências legais.
9.4 Se houver indícios de inexequibilidade da proposta de preço, ou em caso da necessidade de esclarecimentos complementares, poderá ser efetuada diligência, na forma do § 3° do art. 43 da Lei n° 8.666, de 1993, para efeito de comprovação de sua exequibilidade, podendo ser adotado, dentre outros, os seguintes procedimentos:
questionamentos junto à proponente para a apresentação de justificativas e comprovações em relação aos custos com indícios de inexequibilidade;verificação de Acordos, Convenções ou Dissídios Coletivos de Trabalho;levantamento de informações junto ao Ministério do Trabalho; consultas a entidades ou conselhos de classe, sindicatos ou similares; pesquisas em órgãos públicos ou empresas privadas verificação de outros contratos que o proponente mantenha com a Administração ou com a iniciativa privada;pesquisa de preço com fornecedores dos insumos utilizados, tais como: atacadistas, lojas de suprimentos,supermercados e fabricantes;verificação de notas fiscais dos produtos adquiridos pelo proponente;
levantamento de indicadores salariais ou trabalhistas publicados por órgãos de pesquisa;estudos setoriais;consultas às Fazendas Federal, Distrital, Estadual ou Municipal; eanálise de soluções técnicas escolhidas e/ou condições excepcionalmente favoráveis que o proponente disponha para a prestação dos serviços.
9.5 Qualquer interessado poderá requerer que se realizem diligências para aferir a exequibilidade e a legalidade das propostas, devendo apresentar as provas ou os indícios que fundamentam o pedido;
9.6 Quando o licitante apresentar</t>
        </r>
        <r>
          <rPr>
            <b/>
            <sz val="9"/>
            <color rgb="FF000000"/>
            <rFont val="Tahoma"/>
            <family val="2"/>
            <charset val="1"/>
          </rPr>
          <t>preço final inferior a 30% da média dos preços ofertados</t>
        </r>
        <r>
          <rPr>
            <sz val="9"/>
            <color rgb="FF000000"/>
            <rFont val="Tahoma"/>
            <family val="2"/>
            <charset val="1"/>
          </rPr>
          <t>para o mesmo item, e a inexequibilidade da proposta não for flagrante e evidente pela análise da planilha de custos e formação de preços,</t>
        </r>
        <r>
          <rPr>
            <b/>
            <sz val="9"/>
            <color rgb="FF000000"/>
            <rFont val="Tahoma"/>
            <family val="2"/>
            <charset val="1"/>
          </rPr>
          <t>não sendo possível a sua imediata desclassificaçã</t>
        </r>
        <r>
          <rPr>
            <sz val="9"/>
            <color rgb="FF000000"/>
            <rFont val="Tahoma"/>
            <family val="2"/>
            <charset val="1"/>
          </rPr>
          <t>o, será obrigatória a realização de diligências para aferir a legalidade e exequibilidade da proposta.
________________________________________________________________________________________________________________</t>
        </r>
        <r>
          <rPr>
            <b/>
            <sz val="9"/>
            <color rgb="FF000000"/>
            <rFont val="Tahoma"/>
            <family val="2"/>
            <charset val="1"/>
          </rPr>
          <t>TCU –Acórdão nº 1.214/2013 – Plenário
III.H percentuais mínimos aceitáveis para encargos sociais e ldi</t>
        </r>
        <r>
          <rPr>
            <sz val="9"/>
            <color rgb="FF000000"/>
            <rFont val="Tahoma"/>
            <family val="2"/>
            <charset val="1"/>
          </rPr>
          <t>219. Do mesmo modo, lucro, como se sabe, pode ser maximizado com uma boa gestão de mão de obra, mas não se deve abrir mão de um mínimo aceitável, pois não é crível que prestadores de serviços estejam dispostos a trabalharem de graça para o erário. Não fixar lucro mínimo é um incentivo para que as empresas avancem sobre outras verbas, como direitos trabalhistas, tributos e contribuições compulsórias, como tem sido praxe.
220. Também as despesas administrativas, devem ser objeto de análise pela administração, pois não é razoável que a empresa não possua esse gasto. No entanto, é aceitável que existam justificativas para reduzí-lo ou eliminá-lo, por exemplo, que a empresa administre muitos contratos, ou que se trate de uma empresa familiar, mas para isso a empresa necessite apresenta-las.
_______________________________________________________________________________________________________________</t>
        </r>
        <r>
          <rPr>
            <b/>
            <sz val="9"/>
            <color rgb="FF000000"/>
            <rFont val="Tahoma"/>
            <family val="2"/>
            <charset val="1"/>
          </rPr>
          <t>Mas em outro acordão o TCU definiu que  os % são livres para serem definidos por cada fornecedor:
(Acórdão 325/2007-TCU-Plenário).Não há vedação legalà atuação, por parte de empresas contratadas pela Administração Pública Federal,sem margem de lucro ou com margem de lucro mínima, pois tal fato depende da estratégia comercial da empresa e não conduz, necessariamente, à inexecução da proposta.
___________________________________________________________________________________________________Outro Acórdão que parece trazer certa solução, estabelece que os percentuais mínimos devem ser estabelecidos em Edital.A desclassificação de proposta por inexequibilidade deve ser objetivamente demonstrada, a partir de critérios previamente publicados (Acórdãos 2.528/2012 e 1.092/2013, ambos do Plenário).
Vale destacar que a questão foi abordada no Acórdão nº 1.214/13-Plenário, em sede de representação formulada a partir de trabalho realizado por grupo de estudos, constituído com o objetivo de apresentar proposições de melhorias nos procedimentos relativos à terceirização de serviços continuados na Administração Pública Federal. Um dos problemas apontados naquela ocasião foi justamente a dificuldade enfrentada pela Administração no exame de exequibilidade das propostas, em razão da ausência de parâmetros seguros de análise.
De acordo coma conclusão do grupo, “(…)os editais deveriam consignar expressamente as condições mínimas para que as propostas sejam consideradas exequíveis, proibindo propostas com lucro e despesas administrativas iguais a zero, entre outros, em razão de esse percentual englobar os impostos e contribuições não repercutíveis (IR, CSLL). Registre-se que o grupo não determinou quais seriam as condições mínimas ideais, de modo que deverá ser realizado estudo para determiná-las e, assim, possibilitar a implementação dessa proposta.”________________________________________________________________________________________________________________</t>
        </r>
      </text>
    </comment>
    <comment ref="F109" authorId="0">
      <text>
        <r>
          <rPr>
            <sz val="10"/>
            <color rgb="FF000000"/>
            <rFont val="Arial"/>
            <family val="2"/>
            <charset val="1"/>
          </rPr>
          <t>(Acórdão 325/2007-TCU-Plenário).</t>
        </r>
        <r>
          <rPr>
            <b/>
            <sz val="10"/>
            <color rgb="FF000000"/>
            <rFont val="Arial"/>
            <family val="2"/>
            <charset val="1"/>
          </rPr>
          <t>Não há vedação legal</t>
        </r>
        <r>
          <rPr>
            <sz val="10"/>
            <color rgb="FF000000"/>
            <rFont val="Arial"/>
            <family val="2"/>
            <charset val="1"/>
          </rPr>
          <t>à atuação, por parte de empresas contratadas pela Administração Pública Federal,</t>
        </r>
        <r>
          <rPr>
            <b/>
            <sz val="10"/>
            <color rgb="FF000000"/>
            <rFont val="Arial"/>
            <family val="2"/>
            <charset val="1"/>
          </rPr>
          <t>sem margem de lucro ou com margem de lucro mínima</t>
        </r>
        <r>
          <rPr>
            <sz val="10"/>
            <color rgb="FF000000"/>
            <rFont val="Arial"/>
            <family val="2"/>
            <charset val="1"/>
          </rPr>
          <t>, pois tal fato depende da estratégia comercial da empresa e não conduz, necessariamente, à inexecução da proposta
2. A desclassificação de proposta por inexequibilidade deve ser objetivamente demonstrada, a partir de critérios previamente publicados (Acórdãos 2.528/2012 e 1.092/2013, ambos do Plenário)
------------------------------------------------------------------------------------------------------------------------------------------
Mas em outro acórdão o TCU deliberou o seguinte:
Vale destacar que a questão foi abordada no Acórdão nº 1.214/13-Plenário, em sede de representação formulada a partir de trabalho realizado por grupo de estudos, constituído com o objetivo de apresentar proposições de melhorias nos procedimentos relativos à terceirização de serviços continuados na Administração Pública Federal. Um dos problemas apontados naquela ocasião foi justamente a dificuldade enfrentada pela Administração no exame de exequibilidade das propostas, em razão da ausência de parâmetros seguros de análise.
De acordo coma conclusão do grupo, “(…)</t>
        </r>
        <r>
          <rPr>
            <b/>
            <sz val="10"/>
            <color rgb="FF000000"/>
            <rFont val="Arial"/>
            <family val="2"/>
            <charset val="1"/>
          </rPr>
          <t>os editais deveriam consignar expressamente as condições mínimas para que as propostas sejam consideradas exequíveis, proibindo propostas com lucro e despesas administrativas iguais a zero</t>
        </r>
        <r>
          <rPr>
            <sz val="10"/>
            <color rgb="FF000000"/>
            <rFont val="Arial"/>
            <family val="2"/>
            <charset val="1"/>
          </rPr>
          <t>, entre outros, em razão de esse percentual englobar os impostos e contribuições não repercutíveis (IR, CSLL). Registre-se que o grupo não determinou quais seriam as condições mínimas ideais, de modo que deverá ser realizado estudo para determiná-las e, assim, possibilitar a implementação dessa proposta.”
------------------------------------------------------------------------------------------------------------------------------------------</t>
        </r>
        <r>
          <rPr>
            <b/>
            <sz val="10"/>
            <color rgb="FFFF0000"/>
            <rFont val="Arial"/>
            <family val="2"/>
            <charset val="1"/>
          </rPr>
          <t>Conclusão:
Melhor solução, estabelecer nos Editais com base em estudos percentuais minímos de lucros e custos indiretos</t>
        </r>
      </text>
    </comment>
    <comment ref="G112" authorId="0">
      <text>
        <r>
          <rPr>
            <sz val="10"/>
            <color rgb="FF000000"/>
            <rFont val="Arial"/>
            <family val="2"/>
            <charset val="1"/>
          </rPr>
          <t>Empresas Lucro Presumido:
PIS: 0,65% / COFINS: 3,00%
Empresas Lucro Real:
PIS: 1,65% / COFINS: 7,60%
Para as empresas optantes pelo Simples Nacional, a tributação varia conforme o faturamento mensal.
Soma-se os módulo 1,2,3,4,5, bem como os Custos Indiretos e o Lucro. Em seguida divide-se pelo Fator de Divisão, conforme a tributação aplicada (presumido,real,SIMPLES). Dessa forma, encontra-se o faturamento o qual incidirá a alíquota do PIS (PRESUMIDO).</t>
        </r>
      </text>
    </comment>
    <comment ref="G113" authorId="0">
      <text>
        <r>
          <rPr>
            <sz val="10"/>
            <color rgb="FF000000"/>
            <rFont val="Arial"/>
            <family val="2"/>
            <charset val="1"/>
          </rPr>
          <t>Empresas Lucro Presumido:
PIS: 0,65% / COFINS: 3,00%
Empresas Lucro Real:
PIS: 1,65% / COFINS: 7,60%
Para as empresas optantes pelo Simples Nacional, a tributação varia conforme o faturamento mensal.
Soma-se os módulo 1,2,3,4,5, bem como os Custos Indiretos e o Lucro. Em seguida divide-se pelo Fator de Divisão, conforme a tributação aplicada (presumido,real,SIMPLES). Dessa forma, encontra-se o faturamento o qual incidirá a alíquota do COFINS (PRESUMIDO).</t>
        </r>
      </text>
    </comment>
    <comment ref="G115" authorId="0">
      <text>
        <r>
          <rPr>
            <sz val="10"/>
            <color rgb="FF000000"/>
            <rFont val="Arial"/>
            <family val="2"/>
            <charset val="1"/>
          </rPr>
          <t>SANTOS DUMONT 3% (PODE VARIAR CONFORME MUNICÍPIO)
ALÍQUOTAS  SIMPLES, CONFORME TABELA A SEGUIR:
Antigo Anexo III do Simples Nacional (alterada em 2018)
Receita Bruta em 12 meses (em R$)	Alíquota Total	IRPJ	CSLL	COFINS	PIS	CPP	ISS
De R$ 0,00 a R$ 180.000,00            	6,00%	0,00%	0,00%	0,00%	0,00%	4,00%	2,00%
De R$ 180.000,01 a R$ 360.000,00 	8,21%	0,00%	0,00%	1,42%	0,00%	4,00%	2,79%
De R$ 360.000,01 a R$ 540.000,00 	10,26%	0,48%	0,43%	1,43%	0,35%	4,07%	3,50%
De R$ 540.000,01 a R$ 720.000,00 	11,31%	0,53%	0,53%	1,56%	0,38%	4,47%	3,84%
De R$ 720.000,01 a R$ 900.000,00 	11,40%	0,53%	0,52%	1,58%	0,38%	4,52%	3,87%
De R$ 900.000,01 a R$ 1.080.000,00 	12,42%	0,57%	0,57%	1,73%	0,40%	4,92%	4,23%
De R$ 1.080.000,01 a R$ 1.260.000,00 	12,54%	0,59%	0,56%	1,74%	0,42%	4,97%	4,26%
De R$ 1.260.000,01 a R$ 1.440.000,00 	12,68%	0,59%	0,57%	1,76%	0,42%	5,03%	4,31%
De R$ 1.440.000,01 a R$ 1.620.000,00 	13,55%	0,63%	0,61%	1,88%	0,45%	5,37%	4,61%
De R$ 1.620.000,01 a R$ 1.800.000,00 	13,68%	0,63%	0,64%	1,89%	0,45%	5,42%	4,65%
De R$ 1.800.000,01 a R$ 1.980.000,00 	14,93%	0,69%	0,69%	2,07%	0,50%	5,98%	5,00%
De R$ 1.980.000,01 a R$ 2.160.000,00 	15,06%	0,69%	0,69%	2,09%	0,50%	6,09%	5,00%
De R$ 2.160.000,01 a R$ 2.340.000,00 	15,20%	0,71%	0,70%	2,10%	0,50%	6,19%	5,00%
De R$ 2.340.000,01 a R$ 2.520.000,00 	15,35%	0,71%	0,70%	2,13%	0,51%	6,30%	5,00%
De R$ 2.520.000,01 a R$ 2.700.000,00 	15,48%	0,72%	0,70%	2,15%	0,51%	6,40%	5,00%
De R$ 2.700.000,01 a R$ 2.880.000,00 	16,85%	0,78%	0,76%	2,34%	0,56%	7,41%	5,00%
De R$ 2.880.000,01 a R$ 3.060.000,00 	16,98%	0,78%	0,78%	2,36%	0,56%	7,50%	5,00%
De R$ 3.060.000,01 a R$ 3.240.000,00 	17,13%	0,80%	0,79%	2,37%	0,57%	7,60%	5,00%
De R$ 3.240.000,01 a R$ 3.420.000,00 	17,27%	0,80%	0,79%	2,40%	0,57%	7,71%	5,00%
De R$ 3.420.000,01 a R$ 3.600.000,00 	17,42%	0,81%	0,79%	2,42%	0,57%	7,83%	5,00%</t>
        </r>
        <r>
          <rPr>
            <b/>
            <sz val="10"/>
            <color rgb="FF000000"/>
            <rFont val="Arial"/>
            <family val="2"/>
            <charset val="1"/>
          </rPr>
          <t>É aconselhável buscar auxilio do setor contábil do órgão para aferição dos tributos.</t>
        </r>
      </text>
    </comment>
    <comment ref="B132" authorId="0">
      <text>
        <r>
          <rPr>
            <sz val="10"/>
            <color rgb="FF000000"/>
            <rFont val="Arial"/>
            <family val="2"/>
            <charset val="1"/>
          </rPr>
          <t>Serviços de Limpeza devem usar o Quadro 6 da Planilha modelo da IN  05/2017 ( esta planilha já está configurada na aba por M²).
Serviços de Vigilância devem usar o quadro 5 da  da Planilha modelo da IN  05/2017</t>
        </r>
      </text>
    </comment>
  </commentList>
</comments>
</file>

<file path=xl/comments10.xml><?xml version="1.0" encoding="utf-8"?>
<comments xmlns="http://schemas.openxmlformats.org/spreadsheetml/2006/main">
  <authors>
    <author>Autor</author>
  </authors>
  <commentList>
    <comment ref="A3" authorId="0">
      <text>
        <r>
          <rPr>
            <sz val="10"/>
            <color rgb="FF000000"/>
            <rFont val="Arial"/>
            <family val="2"/>
            <charset val="1"/>
          </rPr>
          <t>ESSAS INFORMAÇÕES DEVEM SER REPASSADAS VIA EMAIL PELO SETOR DE LICITAÇÃO</t>
        </r>
      </text>
    </comment>
    <comment ref="H27" authorId="0">
      <text>
        <r>
          <rPr>
            <sz val="10"/>
            <color rgb="FF000000"/>
            <rFont val="Arial"/>
            <family val="2"/>
            <charset val="1"/>
          </rPr>
          <t>COLOCAR O VALOR DA CCT MAS DEIXAR ABERTO PARA FORNECEDOR ALTERAR “ SÓ PODE SER MAIOR QUE A CCT”</t>
        </r>
      </text>
    </comment>
    <comment ref="B28" authorId="0">
      <text>
        <r>
          <rPr>
            <sz val="10"/>
            <color rgb="FF000000"/>
            <rFont val="Arial"/>
            <family val="2"/>
            <charset val="1"/>
          </rPr>
          <t>Previsto em legislação ou acordo coletivo para trabalhos que impliquem em condições de risco à saúde ou integridade física do trabalhador.
30% sobre o salário base.</t>
        </r>
      </text>
    </comment>
    <comment ref="D28" authorId="0">
      <text>
        <r>
          <rPr>
            <sz val="10"/>
            <color rgb="FF000000"/>
            <rFont val="Arial"/>
            <family val="2"/>
            <charset val="1"/>
          </rPr>
          <t>Selecionar:
*Com Periculosidade
* Sem Periculosidade</t>
        </r>
      </text>
    </comment>
    <comment ref="E28" authorId="0">
      <text>
        <r>
          <rPr>
            <sz val="10"/>
            <color rgb="FF000000"/>
            <rFont val="Arial"/>
            <family val="2"/>
            <charset val="1"/>
          </rPr>
          <t>Selecionar 0% quando não houver Periculosidade e 30% quando incidir</t>
        </r>
      </text>
    </comment>
    <comment ref="B29" authorId="0">
      <text>
        <r>
          <rPr>
            <sz val="10"/>
            <color rgb="FF000000"/>
            <rFont val="Arial"/>
            <family val="2"/>
            <charset val="1"/>
          </rPr>
          <t>O salário de referência para cálculo do seu custo é o salário mínimo estadual ou o nacional ou o salário normativo da categoria se expressamente estabelecido no acordo ou convenção coletiva.
São operações que, por sua natureza, condições ou métodos de trabalho, exponham os empregados a agentes nocivos à saúde, acima dos limites de tolerância fixados em razão da natureza e da intensidade do agente e do tempo de exposição aos seus efeitos. (Art. 189, CLT)
Grau máximo: 40%;
Grau médio: 20%;
Grau mínimo: 10%.</t>
        </r>
      </text>
    </comment>
    <comment ref="B31" authorId="0">
      <text>
        <r>
          <rPr>
            <sz val="10"/>
            <color rgb="FF000000"/>
            <rFont val="Arial"/>
            <family val="2"/>
            <charset val="1"/>
          </rPr>
          <t>Verificar as auterações trazidas pela Reforma Trabalhista – Á principio aguardar as Novas CCT´s
Conferido ao trabalhador por trabalho executado entre as 22 horas de um dia e as 5 horas do dia seguinte.
Remunerado com adicional de, pelo menos, 20% sobre a hora diurna.
Adicional noturno para 1 hora trabalhada = Valor da hora diurna X 20%
Valor da hora diurna = Salário base / Total de horas trabalhadas no mês
O total de horas trabalhadas no mês calcula-se considerando 5 semanas de trabalho, conforme determinação do MTE.
Exemplo:
Salário: R$2.200,00
Valor da hora diurna: 2.200,00 / 220 horas (jornada de 44 horas semanais) = R$10,00
Adicional noturno para 1 hora trabalhada = 10,00 X 20% = R$2,00</t>
        </r>
      </text>
    </comment>
    <comment ref="D31" authorId="0">
      <text>
        <r>
          <rPr>
            <sz val="10"/>
            <color rgb="FF000000"/>
            <rFont val="Arial"/>
            <family val="2"/>
            <charset val="1"/>
          </rPr>
          <t>Selecionar entre:
Mínimo
Médio 
Máximo
Sem Insalubridade</t>
        </r>
      </text>
    </comment>
    <comment ref="E31" authorId="0">
      <text>
        <r>
          <rPr>
            <sz val="10"/>
            <color rgb="FF000000"/>
            <rFont val="Arial"/>
            <family val="2"/>
            <charset val="1"/>
          </rPr>
          <t>Selecionar entre:
0%
10%
20%
40%
E o valor da Insalubridade será calculado sobre o valor da salário</t>
        </r>
      </text>
    </comment>
    <comment ref="F31" authorId="0">
      <text>
        <r>
          <rPr>
            <sz val="10"/>
            <color rgb="FF000000"/>
            <rFont val="Arial"/>
            <family val="2"/>
            <charset val="1"/>
          </rPr>
          <t>Digitar valo do Salário Mínimo ou o da Categoria se expressamente estabelecido em Convenção Coletiva</t>
        </r>
      </text>
    </comment>
    <comment ref="B32" authorId="0">
      <text>
        <r>
          <rPr>
            <sz val="10"/>
            <color rgb="FF000000"/>
            <rFont val="Arial"/>
            <family val="2"/>
            <charset val="1"/>
          </rPr>
          <t>Corresponde a 52 minutos e 30 segundos.
A hora noturna adicional corresponde à diferença da hora noturna menos a hora normal.
Hora noturna = Hora normal X (60/52,5)
Hora noturna = Hora normal X 1,14285714
Exemplo:
Salário: R$2.200,00
Valor da hora diurna: 2.200,00 / 220 horas (jornada de 44 horas semanais) = R$10,00
Hora noturna = 10,00 X 1,14285714 = R$11,42
Hora noturna adicional = Hora noturna – Hora normal
Hora noturna adicional = (11,42 X 20%) - (R$10,00 X 20%) = 2,286 – 2,00 = 0,286</t>
        </r>
      </text>
    </comment>
    <comment ref="H33" authorId="0">
      <text>
        <r>
          <rPr>
            <b/>
            <sz val="9"/>
            <color indexed="81"/>
            <rFont val="Tahoma"/>
            <family val="2"/>
          </rPr>
          <t>UFERSA:O adicional noturno influenciará no repouso semanal remunerado, portando para compensar o descanso semanal decorrente do labor noturno, o empregado também terá reflexo em seu descanso remunerado de adicional noturno.  Em decorrência do valor do posto ser mensal, ou seja de um mês qualquer, os dias úteis, domingos e feriados foram tomados como uma média mensal dentro de um período de um ano (2018). Adotamos como o fator multiplicador de 0,229 , igual à (1/média de dias úteis 2018)xmédia de feriados e domingos em  2018.</t>
        </r>
        <r>
          <rPr>
            <sz val="9"/>
            <color indexed="81"/>
            <rFont val="Tahoma"/>
            <family val="2"/>
          </rPr>
          <t xml:space="preserve">
</t>
        </r>
      </text>
    </comment>
    <comment ref="B35" authorId="0">
      <text>
        <r>
          <rPr>
            <sz val="10"/>
            <color rgb="FF000000"/>
            <rFont val="Arial"/>
            <family val="2"/>
            <charset val="1"/>
          </rPr>
          <t>Relativo ao trabalho realizado além da jornada diária regular estabelecida, com acréscimo de no mínimo 50% do valor da hora normal para trabalho extra (entre segunda e sábado) e de 100% em domingos e feriados.
Não pode ser maior do que 2 horas diárias. (Art. 59, CLT)</t>
        </r>
      </text>
    </comment>
    <comment ref="B41" authorId="0">
      <text>
        <r>
          <rPr>
            <b/>
            <sz val="10"/>
            <color rgb="FF000000"/>
            <rFont val="Arial"/>
            <family val="2"/>
            <charset val="1"/>
          </rPr>
          <t>Cálculo de acordo com o Manual para preenchimento de Planilha do MPOG de 2011</t>
        </r>
        <r>
          <rPr>
            <sz val="10"/>
            <color rgb="FF000000"/>
            <rFont val="Arial"/>
            <family val="2"/>
            <charset val="1"/>
          </rPr>
          <t>Considerando que na duração do contrato de 60 meses o empregado tem 5 meses de férias e labora em 56 meses:
(5/56) x 100 = 8,93%;</t>
        </r>
        <r>
          <rPr>
            <b/>
            <sz val="10"/>
            <color rgb="FF000000"/>
            <rFont val="Arial"/>
            <family val="2"/>
            <charset val="1"/>
          </rPr>
          <t>Cálculo de acordo com o Caderno de Logistica/ Serviços de limpeza  MPOG de 2014</t>
        </r>
        <r>
          <rPr>
            <sz val="10"/>
            <color rgb="FF000000"/>
            <rFont val="Arial"/>
            <family val="2"/>
            <charset val="1"/>
          </rPr>
          <t>Para os contratos de 1 ano (12 meses) o empregado trabalha 12 meses e tem direito a 1 mês de férias, o que significa:
(1/12) x 100 = 8,33%.
Por derradeiro a IN 05/2017, trouxe o seguinte texto
Nota 1: Como a planilha de custos e formação de preços é calculada mensalmente, provisiona-se
proporcionalmente 1/12 (um doze avos) dos valores referentes a gratificação natalina e adicional
de férias.</t>
        </r>
        <r>
          <rPr>
            <b/>
            <sz val="10"/>
            <color rgb="FF000000"/>
            <rFont val="Arial"/>
            <family val="2"/>
            <charset val="1"/>
          </rPr>
          <t>( No meu entendimento definiu que o percentual do 13° é de 8,33% ), 
MAS É NECESSÁRIO ESPERAR SAIR O MANUAL DE PREENCHIMENTO DA PLANILHA, TÃO PROMETIDO PARA  SE BATER O MARTELO, POIS COSTUMA UMA PUBLICAÇÃO NÃO BATER COM A OUTRA, SÓ PARA VARIAR.</t>
        </r>
      </text>
    </comment>
    <comment ref="G41" authorId="0">
      <text>
        <r>
          <rPr>
            <b/>
            <sz val="9"/>
            <color rgb="FF000000"/>
            <rFont val="Tahoma"/>
            <family val="2"/>
            <charset val="1"/>
          </rPr>
          <t>Usuário do Windows:</t>
        </r>
        <r>
          <rPr>
            <sz val="9"/>
            <color rgb="FF000000"/>
            <rFont val="Tahoma"/>
            <family val="2"/>
            <charset val="1"/>
          </rPr>
          <t>8,33% ou 8,93% Ler comentário na descrição do item 13º SALÁRIO ao lado</t>
        </r>
      </text>
    </comment>
    <comment ref="B42" authorId="0">
      <text>
        <r>
          <rPr>
            <sz val="10"/>
            <color rgb="FF000000"/>
            <rFont val="Arial"/>
            <family val="2"/>
            <charset val="1"/>
          </rPr>
          <t>.( Art. 129,Art. 130, inciso I da CLT e Art. 7° , inciso XCII da CF/88 [=(1/12)+(1/3)/12]</t>
        </r>
        <r>
          <rPr>
            <b/>
            <sz val="10"/>
            <color rgb="FF000000"/>
            <rFont val="Arial"/>
            <family val="2"/>
            <charset val="1"/>
          </rPr>
          <t>Quando é retido a conta vinculada o calculo deve ser [</t>
        </r>
        <r>
          <rPr>
            <sz val="10"/>
            <color rgb="FF000000"/>
            <rFont val="Arial"/>
            <family val="2"/>
            <charset val="1"/>
          </rPr>
          <t>=(1/11)+(1/3/11) que dá os 12,10% retidos na conta vinculada (calculo CNJ).
A IN 05/2017, trouxe o seguinte texto com relação ao módulo 2.1
Nota 1: Como a planilha de custos e formação de preços é calculada mensalmente, provisiona-se
proporcionalmente 1/12 (um doze avos) dos valores referentes a gratificação natalina e adicional
de férias.</t>
        </r>
        <r>
          <rPr>
            <b/>
            <sz val="10"/>
            <color rgb="FF000000"/>
            <rFont val="Arial"/>
            <family val="2"/>
            <charset val="1"/>
          </rPr>
          <t>( No meu entendimento definiu que o percentual do 13° é de 8,33% ),</t>
        </r>
        <r>
          <rPr>
            <b/>
            <u/>
            <sz val="10"/>
            <color rgb="FF000000"/>
            <rFont val="Arial"/>
            <family val="2"/>
            <charset val="1"/>
          </rPr>
          <t>MAS É NECESSÁRIO ESPERAR SAIR O MANUAL DE PREENCHIMENTO DA PLANILHA, TÃO PROMETIDO PARA BATER O MARTELO, POIS COSTUMA UMA PUBLICAÇÃO NÃO BATER COM A OUTRA, SÓ PARA VARIAR.</t>
        </r>
        <r>
          <rPr>
            <sz val="10"/>
            <color rgb="FF000000"/>
            <rFont val="Arial"/>
            <family val="2"/>
            <charset val="1"/>
          </rPr>
          <t>Nota 2: O adicional de férias contido no Submódulo 2.1 corresponde a 1/3 (um terço) da
remuneração que por sua vez é divido por 12 (doze) conforme Nota 1 acima.</t>
        </r>
        <r>
          <rPr>
            <b/>
            <sz val="10"/>
            <color rgb="FF000000"/>
            <rFont val="Arial"/>
            <family val="2"/>
            <charset val="1"/>
          </rPr>
          <t>( Desta forma também defini que o percentual das férias seria 1/12 * 1/3 que corresponde a 11,11% , mas na cartilha da conta vinculada lançada em fevereiro de 2018, continua 12,10% para ser retido e pago na conta vinculada referente a provisão de férias e 1/3)</t>
        </r>
        <r>
          <rPr>
            <b/>
            <u/>
            <sz val="10"/>
            <color rgb="FF000000"/>
            <rFont val="Arial"/>
            <family val="2"/>
            <charset val="1"/>
          </rPr>
          <t>PORTANTO SE FAZ NECESSÁRIO CONTINUAR USANDO O CALCULO DO CNJ DE 12,10% EM CONTRATOS QUE UTILIZEM CONTA VINCULADA, POIS COMO PODERIAMOS RETER UM VALOR QUE NÃO ESTÁ PROVISIONADO NA PLANILHA)</t>
        </r>
      </text>
    </comment>
    <comment ref="G42" authorId="0">
      <text>
        <r>
          <rPr>
            <b/>
            <sz val="9"/>
            <color rgb="FF000000"/>
            <rFont val="Tahoma"/>
            <family val="2"/>
            <charset val="1"/>
          </rPr>
          <t>Usuário do Windows:</t>
        </r>
        <r>
          <rPr>
            <sz val="9"/>
            <color rgb="FF000000"/>
            <rFont val="Tahoma"/>
            <family val="2"/>
            <charset val="1"/>
          </rPr>
          <t>11,11% ou 12,10% Ler comentário na descrição do item FÉRIAS ao lado</t>
        </r>
      </text>
    </comment>
    <comment ref="B46" authorId="0">
      <text>
        <r>
          <rPr>
            <sz val="10"/>
            <color rgb="FF000000"/>
            <rFont val="Arial"/>
            <family val="2"/>
            <charset val="1"/>
          </rPr>
          <t>Contribuição de 20% sobre o total das remunerações destinada à Seguridade Social, conforme determina a Lei 8.212/91.</t>
        </r>
      </text>
    </comment>
    <comment ref="B47" authorId="0">
      <text>
        <r>
          <rPr>
            <sz val="10"/>
            <color rgb="FF000000"/>
            <rFont val="Arial"/>
            <family val="2"/>
            <charset val="1"/>
          </rPr>
          <t>Contribuições sociais destinadas ao Serviço Social da Indústria (SESI) e ao Serviço Social do Comércio (SESC). As empresas optantes pelo Simples Nacional são isentas. Para as demais empresas fica determinado o percentual de 1,5%.</t>
        </r>
      </text>
    </comment>
    <comment ref="D47" authorId="0">
      <text>
        <r>
          <rPr>
            <sz val="10"/>
            <color rgb="FF000000"/>
            <rFont val="Arial"/>
            <family val="2"/>
            <charset val="1"/>
          </rPr>
          <t>Usuário do Windows:
EMPRESAS OPTATANTES PELO SIMPLES ESTÃO ISENTAS DO PAGAMENTO DAS SEGUINTES CONTRIBUIÇÕES:  SESI ou SESC, SENAI ou SENAC, INCRA, Salário-Educação, SEBRAE, Portanto devem ser zeradas na Planilha.
Empresas de sessão de mão de obra não podem ser optantes pelo Simples com excessão das empresas que prestam serviços de serviços de vigilância, limpeza ou conservação desde que não exerçam em conjunto com outras atividades vedadas,c) Regime de Tributação – SIMPLES –Regime Especial Unificado de Arrecadação de Tributos e Contribuições – Microempresas (MEs) e Empresas de Pequeno Porte (EPPs) O SIMPLES consiste em um regime especial unificado de arrecadação de Tributos e Contribuições devidos pelas Microempresas e Empresas de Pequeno Porte, instituído pela Lei Complementar nº 123, de 14 de dezembro de 2006. Lembramos ainda que as microempresas e empresas de pequeno porte optantes pelo Simples Nacional ficam dispensadas do pagamento das demais contribuições instituídas pela União, tais como SESI ou SESC, SENAI ou SENAC, INCRA, Salário-Educação, SEBRAE, conforme expressa previsão legal contida no art. 13, § 3º da Lei Complementar nº 123/2006: § 3º  As microempresas e empresas de pequeno porte optantes pelo Simples Nacional ficam dispensadas do pagamento das demais contribuições instituídas pela União, inclusive as contribuições para as entidades privadas de serviço social e de formação profissional vinculadas ao sistema sindical, de que trata o art. 240 da Constituição Federal, e demais entidades de serviço social autônomo. Nem todas as microempresas ou empresas de pequeno porte poderão recolher os impostos e contribuições na forma do Simples, como por exemplo, as empresas que exercem atividade de cessão ou locação de mão de obra8. As vedações ao ingresso no Simples Nacional estão previstas no art. 17 da Lei Complementar nº 123/2006. 
8 Entende-se por cessão de mão de obra a colocação à disposição da empresa contratante, em suas dependências ou nas de terceiros, de trabalhadores que realizem serviços contínuos, relacionados ou não com sua atividade fim, quaisquer que sejam a natureza e a forma de contratação, inclusive por meio de trabalho temporário na forma da Lei nº 6.019, de 3 de janeiro de 1974. (art.115 Instrução Normativa RFB nº 971, de 13 de novembro de 2009)
117
CAPÍTULO VI – COMPOSIÇÃO DA PLANILHA DE CUSTO E FORMAÇÃO DE PREÇO 
Art. 17. Não poderão recolher os impostos e contribuições na forma do Simples Nacional a microempresa ou a empresa de pequeno porte: (...) XII – que realize cessão ou locação de mão de obra; É importante ressaltar que as vedações previstas no caput do art. 17 da LC nº 123/2006 não se aplicam às pessoas jurídicas que se dediquem exclusivamente às atividades referidas nos §§ 5o-B a 5o-E do art. 18 da Lei Complementar multicitada, ou as exerçam em conjunto com outras atividades que não tenham sido objeto de vedação no mesmo caput. Não se incluem nas vedações, por exemplo, as empresas que prestam serviços de vigilância, limpeza ou conservação desde que não exerçam em conjunto com outras atividades vedadas.
LC 123/2006 – §§ 5o-B a 5o-E do art. 18 da Lei Complementar nº 123/2006 § 5º-H.  A vedação de que trata o inciso XII do caput do art. 17 desta Lei Complementar não se aplica às atividades referidas no § 5º-C deste artigo. (Incluído pela Lei Complementar nº 128, de 2008) § 5º-C.  Sem prejuízo do disposto no § 1º do art. 17 desta Lei Complementar, as atividades de prestação de serviços seguintes serão tributadas na forma do Anexo IV desta Lei Complementar, hipótese em que não estará incluída no Simples Nacional a contribuição prevista no inciso VI do caput do art. 13 desta Lei Complementar, devendo ela ser recolhida segundo a legislação prevista para os demais contribuintes ou responsáveis: (Incluído pela Lei Complementar nº 128, de 2008) (...) VI – serviço de vigilância, limpeza ou conservação. (Incluído pela Lei Complementar nº 128, de 2008)</t>
        </r>
      </text>
    </comment>
    <comment ref="G47" authorId="0">
      <text>
        <r>
          <rPr>
            <sz val="9"/>
            <color rgb="FF000000"/>
            <rFont val="Tahoma"/>
            <family val="2"/>
            <charset val="1"/>
          </rPr>
          <t>Zerar se for optante pelo simples</t>
        </r>
      </text>
    </comment>
    <comment ref="B48" authorId="0">
      <text>
        <r>
          <rPr>
            <sz val="10"/>
            <color rgb="FF000000"/>
            <rFont val="Arial"/>
            <family val="2"/>
            <charset val="1"/>
          </rPr>
          <t>Contribuição ao Serviço Nacional de Aprendizagem Industrial (SENAI) e ao Serviço Nacional de Aprendizagem Comercial (SENAC). As empresas optantes pelo Simples Nacional são isentas. Para as demais empresas com menos de 500 empregados a incidência é de 1% e para as empresas com mais de 500 empregados a incidência é de 1,2%.</t>
        </r>
      </text>
    </comment>
    <comment ref="G48" authorId="0">
      <text>
        <r>
          <rPr>
            <b/>
            <sz val="9"/>
            <color rgb="FF000000"/>
            <rFont val="Tahoma"/>
            <family val="2"/>
            <charset val="1"/>
          </rPr>
          <t>Usuário do Windo</t>
        </r>
        <r>
          <rPr>
            <sz val="9"/>
            <color rgb="FF000000"/>
            <rFont val="Tahoma"/>
            <family val="2"/>
            <charset val="1"/>
          </rPr>
          <t>Zerar se for optante pelo simples</t>
        </r>
      </text>
    </comment>
    <comment ref="B49" authorId="0">
      <text>
        <r>
          <rPr>
            <sz val="10"/>
            <color rgb="FF000000"/>
            <rFont val="Arial"/>
            <family val="2"/>
            <charset val="1"/>
          </rPr>
          <t>Contribuição ao Instituto Nacional de Colonização e Reforma Agrária. As empresas optantes pelo Simples Nacional são isentas e as demais empresas pagam um percentual de 0,2%.</t>
        </r>
      </text>
    </comment>
    <comment ref="G49" authorId="0">
      <text>
        <r>
          <rPr>
            <b/>
            <sz val="9"/>
            <color rgb="FF000000"/>
            <rFont val="Tahoma"/>
            <family val="2"/>
            <charset val="1"/>
          </rPr>
          <t>Usuário do Windows:</t>
        </r>
        <r>
          <rPr>
            <sz val="9"/>
            <color rgb="FF000000"/>
            <rFont val="Tahoma"/>
            <family val="2"/>
            <charset val="1"/>
          </rPr>
          <t>Zerar se for optante pelo simples</t>
        </r>
      </text>
    </comment>
    <comment ref="B50" authorId="0">
      <text>
        <r>
          <rPr>
            <sz val="10"/>
            <color rgb="FF000000"/>
            <rFont val="Arial"/>
            <family val="2"/>
            <charset val="1"/>
          </rPr>
          <t>Contribuição social destinada ao financiamento da educação básica nos termos da Constituição Federal à base de 2,5%. As empresas optantes pelo Simples Nacional são isentas.</t>
        </r>
      </text>
    </comment>
    <comment ref="G50" authorId="0">
      <text>
        <r>
          <rPr>
            <b/>
            <sz val="9"/>
            <color rgb="FF000000"/>
            <rFont val="Tahoma"/>
            <family val="2"/>
            <charset val="1"/>
          </rPr>
          <t>Usuário do Windows:</t>
        </r>
        <r>
          <rPr>
            <sz val="9"/>
            <color rgb="FF000000"/>
            <rFont val="Tahoma"/>
            <family val="2"/>
            <charset val="1"/>
          </rPr>
          <t>Zerar se for optante pelo simples</t>
        </r>
      </text>
    </comment>
    <comment ref="B51" authorId="0">
      <text>
        <r>
          <rPr>
            <sz val="10"/>
            <color rgb="FF000000"/>
            <rFont val="Arial"/>
            <family val="2"/>
            <charset val="1"/>
          </rPr>
          <t>O Fundo de Garantia do Tempo de Serviço (FGTS) constitui-se em um pecúlio disponibilizado quando da aposentadoria ou morte do trabalhador e representa uma garantia para a indenização do tempo de serviço nos casos de demissão imotivada. É garantido pela Constituição Federal à base de 8%.</t>
        </r>
      </text>
    </comment>
    <comment ref="B52" authorId="0">
      <text>
        <r>
          <rPr>
            <sz val="10"/>
            <color rgb="FF000000"/>
            <rFont val="Arial"/>
            <family val="2"/>
            <charset val="1"/>
          </rPr>
          <t>Contribuição destinada a custear benefícios concedidos em razão do grau de incidência de incapacidade laborativa decorrentes dos riscos ambientais do trabalho. Pode ser estabelecido em:
SEG.ACID.TRAB. FAP X RAT ( Art. 22,II, da Lei n° 8.212/91).Alíquotas do SAT em função do FAP(Decreto n° 6.042/07 e n° 6.957/09).Fap(Anexo da RESOLUÇÃO mps/cnps n° 1.316/10)=alíquota do FAPx perc. Do SAT
Esses Perecentuais devem ser conferidos pelo pregoeiro e equipe de apoio, com base na GFIP
1% quando o risco de acidentes do trabalho for considerado leve.
2% quando o risco de acidentes do trabalho for considerado médio.
3% quando o risco de acidentes do trabalho for considerado grave.</t>
        </r>
      </text>
    </comment>
    <comment ref="G52" authorId="0">
      <text>
        <r>
          <rPr>
            <b/>
            <sz val="9"/>
            <color rgb="FF000000"/>
            <rFont val="Tahoma"/>
            <family val="2"/>
            <charset val="1"/>
          </rPr>
          <t>Usuário do Windows:</t>
        </r>
        <r>
          <rPr>
            <sz val="9"/>
            <color rgb="FF000000"/>
            <rFont val="Tahoma"/>
            <family val="2"/>
            <charset val="1"/>
          </rPr>
          <t>JURISPRUDÊNCIA - TCU (Acórdão  2.554/2010 - Primeira Câmara) 
7. Com relação aos itens de custo não cotados ou cotados a menor pela empresa vencedora do certame (como o “Seguro de Acidente de Trabalho”, a “Assistência Social Familiar Sindical”, a “Assistência Social” e os benefícios indiretos concedidos pelas empresas aos empregados),</t>
        </r>
        <r>
          <rPr>
            <b/>
            <sz val="9"/>
            <color rgb="FF000000"/>
            <rFont val="Tahoma"/>
            <family val="2"/>
            <charset val="1"/>
          </rPr>
          <t>não chegam a invalidar a proposta da licitante, mas devem ser objeto de acompanhamento pelo CBPF,</t>
        </r>
        <r>
          <rPr>
            <sz val="9"/>
            <color rgb="FF000000"/>
            <rFont val="Tahoma"/>
            <family val="2"/>
            <charset val="1"/>
          </rPr>
          <t>com a verificação do cumprimento, pela contratada, de suas obrigações trabalhistas em conformidade com a legislação, de forma a resguardar a Administração de eventual responsabilização solidária</t>
        </r>
        <r>
          <rPr>
            <b/>
            <sz val="9"/>
            <color rgb="FF000000"/>
            <rFont val="Tahoma"/>
            <family val="2"/>
            <charset val="1"/>
          </rPr>
          <t>, não podendo essas obrigações importar em eventual acréscimo contratual, considerando que a empresa tem o dever de honrar sua proposta na licitação,</t>
        </r>
        <r>
          <rPr>
            <sz val="9"/>
            <color rgb="FF000000"/>
            <rFont val="Tahoma"/>
            <family val="2"/>
            <charset val="1"/>
          </rPr>
          <t>prestando os serviços contratados pelo preço acordado entre as partes</t>
        </r>
      </text>
    </comment>
    <comment ref="B53" authorId="0">
      <text>
        <r>
          <rPr>
            <sz val="10"/>
            <color rgb="FF000000"/>
            <rFont val="Arial"/>
            <family val="2"/>
            <charset val="1"/>
          </rPr>
          <t>Contribuição social repassada ao Serviço Brasileiro de Apoio à Pequena e Média Empresa (SEBRAE), destinado a custear os programas de apoio à pequena e média empresa à base de 0,6%. As empresas optantes pelo Simples Nacional são isentas.</t>
        </r>
      </text>
    </comment>
    <comment ref="G53" authorId="0">
      <text>
        <r>
          <rPr>
            <b/>
            <sz val="9"/>
            <color rgb="FF000000"/>
            <rFont val="Tahoma"/>
            <family val="2"/>
            <charset val="1"/>
          </rPr>
          <t>Usuário do Windows:</t>
        </r>
        <r>
          <rPr>
            <sz val="9"/>
            <color rgb="FF000000"/>
            <rFont val="Tahoma"/>
            <family val="2"/>
            <charset val="1"/>
          </rPr>
          <t>Zerar se for optante pelo simples</t>
        </r>
      </text>
    </comment>
    <comment ref="G60" authorId="0">
      <text>
        <r>
          <rPr>
            <sz val="10"/>
            <color rgb="FF000000"/>
            <rFont val="Arial"/>
            <family val="2"/>
            <charset val="1"/>
          </rPr>
          <t>Pode variar conforme CCT. Sempre verificar.</t>
        </r>
      </text>
    </comment>
    <comment ref="B74" authorId="0">
      <text>
        <r>
          <rPr>
            <b/>
            <sz val="9"/>
            <color rgb="FF000000"/>
            <rFont val="Tahoma"/>
            <family val="2"/>
            <charset val="1"/>
          </rPr>
          <t>Usuário do Windows:</t>
        </r>
        <r>
          <rPr>
            <sz val="9"/>
            <color rgb="FF000000"/>
            <rFont val="Tahoma"/>
            <family val="2"/>
            <charset val="1"/>
          </rPr>
          <t>FUNDAMENTAÇÃO LEGAL - Constituição Federal de 1988 (Art. 7°, inciso XXI) - CLT (Art. 477, art. 487 a 491) - Observação (1) - Aviso Prévio Indenizado – Estudos CNJ – Resolução 98/2009  Aviso Prévio indenizado - 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término do contrato de trabalho. Cálculo ((1/12)x 0,05) x 100 =0,42%.</t>
        </r>
      </text>
    </comment>
    <comment ref="B75" authorId="0">
      <text>
        <r>
          <rPr>
            <b/>
            <sz val="9"/>
            <color rgb="FF000000"/>
            <rFont val="Tahoma"/>
            <family val="2"/>
            <charset val="1"/>
          </rPr>
          <t>Usuário do Windows:</t>
        </r>
        <r>
          <rPr>
            <sz val="9"/>
            <color rgb="FF000000"/>
            <rFont val="Tahoma"/>
            <family val="2"/>
            <charset val="1"/>
          </rPr>
          <t>aplicar o percentual do FGTS sobre o Aviso Prévio Indenizado.</t>
        </r>
        <r>
          <rPr>
            <b/>
            <sz val="9"/>
            <color rgb="FF000000"/>
            <rFont val="Tahoma"/>
            <family val="2"/>
            <charset val="1"/>
          </rPr>
          <t>Ex 8% X 0,42% = 0,03%</t>
        </r>
      </text>
    </comment>
    <comment ref="B76" authorId="0">
      <text>
        <r>
          <rPr>
            <b/>
            <sz val="9"/>
            <color rgb="FF000000"/>
            <rFont val="Tahoma"/>
            <family val="2"/>
            <charset val="1"/>
          </rPr>
          <t>Usuário do Windows:</t>
        </r>
        <r>
          <rPr>
            <sz val="9"/>
            <color rgb="FF000000"/>
            <rFont val="Tahoma"/>
            <family val="2"/>
            <charset val="1"/>
          </rPr>
          <t>FUNDAMENTAÇÃO LEGAL - Jurisprudência - TCU (Acórdão 2.217/2010 – Plenário - vide apêndice pág. 52)
49 Multa do FGTS do aviso prévio indenizado: valor da multa do FGTS indenizado (40%) + contribuição social sobre o FGTS (10%), que incide sobre a alíquota do FGTS (8%) aplicado sobre o custo de referência do aviso prévio indenizado.
 FUNDAMENTAÇÃO LEGAL - Lei nº 8.036, de 11 de maio de 1990 (Art. 18 § 1º) com redação dada pela Lei nº 9.491, de 9 de setembro de 1997. - Lei Complementar nº 110, de 29 de junho de 2001. (Art. 1°) - Observação (2) - Aviso Prévio Indenizado – Estudos CNJ – Resolução 98/2009 Multa FGTS - Rescisão sem Justa Causa: A Lei Complementar nº 110, de 29 de junho de 2001, determina multa de 50%, da soma dos depósitos do FGTS, no caso de rescisão sem justa causa. Considerando que 10% dos empregados pedem contas, essa penalidade recai sobre os 90% remanescentes. Considerando o pagamento da multa para os valores depositados relativos a salários, férias e 13º salário o cálculo dessa provisão corresponde a: 0,08 x 0,5 x 0,9 x (1 + 5/56 + 5/56 + 1/3 * 5/56) = 4,35%.</t>
        </r>
      </text>
    </comment>
    <comment ref="G76" authorId="0">
      <text>
        <r>
          <rPr>
            <b/>
            <sz val="10"/>
            <color rgb="FF000000"/>
            <rFont val="Arial"/>
            <family val="2"/>
            <charset val="1"/>
          </rPr>
          <t>1°- Não havendo conta vinculada o valor de referência estabelecido no Manual de preenchimento de planilhas do MPOG é de 4,35% APT+API.
FUNDAMENTAÇÃO LEGAL -</t>
        </r>
        <r>
          <rPr>
            <sz val="10"/>
            <color rgb="FF000000"/>
            <rFont val="Arial"/>
            <family val="2"/>
            <charset val="1"/>
          </rPr>
          <t>Lei nº 8.036, de 11 de maio de 1990 (Art. 18 § 1º) com redação dada pela Lei nº 9.491, de 9 de setembro de 1997. - Lei Complementar nº 110, de 29 de junho de 2001. (Art. 1°) -Aviso Prévio Indenizado – Estudos CNJ – Resolução 98/2009 Multa FGTS - Rescisão sem Justa Causa: A Lei Complementar nº 110, de 29 de junho de 2001, determina multa de 50%, da soma dos depósitos do FGTS, no caso de rescisão sem justa causa. Considerando que 10% dos empregados pedem contas, essa penalidade recai sobre os 90% remanescentes.Considerando o pagamento da multa para os valores depositados relativos a salários, férias e 13º salário o cálculo dessa provisão corresponde a: 0,08 x 0,5 x 0,9 x (1 + 5/56 + 5/56 + 1/3 * 5/56) = 4,35%.Onde 0,08 Corresponde ao % dop FGTS;  0,5 é os 50% da multa FGTS ; 0,9 corresponde é o percentual de funcionários que são demitidos sem justa causa;( 1 representa uma remuneração; 5/56 representa 5 meses de férias que um funcionário dentro de um periodo de 56 meses este raciocionio vale para férias e 13° e por fim 1/3 de 5/56 que é um terço constitucional de féria).
---------------------------------------------------------------------------------------------------------------------
2° Quando for exigido conta vinculada :Conforme orientações do MPOG, Quando houver conta vinculada, tanto para o Aviso Prévio Trabalhado quanto para o Aviso Prévio Indenizado, a porcentagem que irá incidir é de 5% soma dos dois avisos (API+APT) sobre o custo de referência.
E também foi orientado que está correto o raciocínio de ponderar os 5% entre o API e o APT, não precisando ser exatamente 50% pra cada. Isso dependerá das características intrínsecas de cada empresa e tipo de serviço, podendo ser definido pelo fornecedor desde que os 2 itens fechem em 5% no caso de ter conta vinculada.</t>
        </r>
      </text>
    </comment>
    <comment ref="B77" authorId="0">
      <text>
        <r>
          <rPr>
            <b/>
            <sz val="9"/>
            <color rgb="FF000000"/>
            <rFont val="Tahoma"/>
            <family val="2"/>
            <charset val="1"/>
          </rPr>
          <t>Usuário do Windows:</t>
        </r>
        <r>
          <rPr>
            <sz val="9"/>
            <color rgb="FF000000"/>
            <rFont val="Tahoma"/>
            <family val="2"/>
            <charset val="1"/>
          </rPr>
          <t>[(1 salário integral / 30 dias) x 7 dias] / 12 meses = 1,94% é o índice.Acórdão 1186/2017 Plenário (Auditoria, Relator Ministro-Substituto Augusto Sherman)
Licitação. Orçamento estimativo. Encargos sociais. Aviso prévio. Terceirização. Limite máximo. Prorrogação de contrato.
Nas licitações para contratação de mão de obra terceirizada, a Administração deve estabelecer na minuta do contrato que a parcela mensal a título de aviso prévio trabalhado será no percentualmáximo de 1,94% no primeiro ano, e, em caso de prorrogação do contrato, o percentual máximo dessa parcela será de0,194% a cada ano de prorrogação, a ser incluído por ocasião da formulação do aditivo da prorrogação do contrato, conforme a Lei 12.506/2011.</t>
        </r>
      </text>
    </comment>
    <comment ref="G83" authorId="0">
      <text>
        <r>
          <rPr>
            <sz val="10"/>
            <color rgb="FF000000"/>
            <rFont val="Arial"/>
            <family val="2"/>
            <charset val="1"/>
          </rPr>
          <t>Opnião Edilson:
A IN 05/2017, trouxe uma novidade com relação as férias, antes tinhamos calculado separado neste campo o %  das férias e em outro campo o % do (1/3) terço constitucional que no cálculo do CNJ seria 12,10%.
Mas  agora  a IN 05/2017, trouxe no submódulo 2.1 as férias e o 1/3 juntos, e repetiu o item  férias mais uma vez no Módulo 4 - como Custo de Reposição do Profissional Ausente.
Tenho visto alguns colocarem novamente o percentual de 12,10% ou 11,11%, o que no meu ponto está redondamente errado.
 O Texto da IN 05/2017 trouxe o seguinte texto:
Nota: As alíneas “A” a “F” referem-se somente ao custo que será pago ao repositor pelos dias
trabalhados</t>
        </r>
        <r>
          <rPr>
            <b/>
            <u/>
            <sz val="10"/>
            <color rgb="FF000000"/>
            <rFont val="Arial"/>
            <family val="2"/>
            <charset val="1"/>
          </rPr>
          <t>quando da necessidade de substituir</t>
        </r>
        <r>
          <rPr>
            <sz val="10"/>
            <color rgb="FF000000"/>
            <rFont val="Arial"/>
            <family val="2"/>
            <charset val="1"/>
          </rPr>
          <t>a mão de obra alocada na prestação do serviço.
Com base neste texto, até que saia o manual de preenchimento da planilha existem 2 opções:
1° Deixar em Branco: já que é novo e o valor é irrisório.
2° Calcular o percentual das férias+1 /3  + 13° salário e dividir por 12 e os seus reflexos que já seram automaticamente cáculados na letra F ( incidencia submodulo 2.1).</t>
        </r>
      </text>
    </comment>
    <comment ref="F84" authorId="0">
      <text>
        <r>
          <rPr>
            <b/>
            <sz val="9"/>
            <color rgb="FF000000"/>
            <rFont val="Tahoma"/>
            <family val="2"/>
            <charset val="1"/>
          </rPr>
          <t>Usuário do Windows:
CUSTO NÃO RENOVÁVEL :</t>
        </r>
        <r>
          <rPr>
            <sz val="9"/>
            <color rgb="FF000000"/>
            <rFont val="Tahoma"/>
            <family val="2"/>
            <charset val="1"/>
          </rPr>
          <t>VALE LEMBRAR QUE POR OCASIÃO DAS PRORROGAÇÕES DEVE SE VERIFICAR SE ESSE VALOR PROVISIONADO FOI UTILIZADO, SE NÃO FOR OU FOR UTILIZADO EM PARTES, DEVE SER RETIRADO OU COLOCADO PROPORCIONALMENTE O % UTILIZADO.</t>
        </r>
        <r>
          <rPr>
            <b/>
            <sz val="9"/>
            <color rgb="FF000000"/>
            <rFont val="Tahoma"/>
            <family val="2"/>
            <charset val="1"/>
          </rPr>
          <t>(O RACIOCÍNIO VALE PARA TODOS OS ITENS DESTA TABELA DO SUBMÓDULO 4.1)</t>
        </r>
      </text>
    </comment>
    <comment ref="G84" authorId="0">
      <text>
        <r>
          <rPr>
            <sz val="10"/>
            <color rgb="FF000000"/>
            <rFont val="Arial"/>
            <family val="2"/>
            <charset val="1"/>
          </rPr>
          <t>Ausências previstas na legislação vigente que é composta por um conjunto de casos em que o funcionário pode se ausentar sem perda da remuneração.
Considerando que o empregado tenha apenas uma falta legal durante o período de 1 ano, temos:
Cálculo:
1/360 = 0,002777 = 0,27%
Esse valor pode variar conforme dados estatísticos da empresa.</t>
        </r>
      </text>
    </comment>
    <comment ref="G85" authorId="0">
      <text>
        <r>
          <rPr>
            <sz val="10"/>
            <color rgb="FF000000"/>
            <rFont val="Arial"/>
            <family val="2"/>
            <charset val="1"/>
          </rPr>
          <t>Concede ao empregado o direito de ausentar-se do serviço por cinco dias quando do nascimento de filho. De acordo com o IBGE, nascem filhos de 1,5% dos trabalhadores no período de um ano. Dessa forma a provisão para este item corresponde a:
((5/30)/12) x 0,015 x 100 = 0,02%
Esse valor pode variar conforme dados estatísticos da empresa.</t>
        </r>
      </text>
    </comment>
    <comment ref="F86" authorId="0">
      <text>
        <r>
          <rPr>
            <b/>
            <sz val="9"/>
            <color indexed="81"/>
            <rFont val="Tahoma"/>
            <family val="2"/>
          </rPr>
          <t>UFERSA:</t>
        </r>
        <r>
          <rPr>
            <sz val="9"/>
            <color indexed="81"/>
            <rFont val="Tahoma"/>
            <family val="2"/>
          </rPr>
          <t xml:space="preserve">
O auxílio-acidente é o afastamento por mais de 15 dias do trabalho em
virtude de acidentes no exercício da atividade profissional, ou doenças adquiridas ou desencadeadas pelo exercício do trabalho ou das condições em que este é realizado e com ele se relacione diretamente. O custo estimado nessa rubrica corresponde apenas aos primeiros 15 dias, o qual é obrigação da empresa a cobertura do mesmo, sendo após 15 dias, o benefício será coberto pela Previdência Social. O percentual de 0,06% é igual ao número de dias cobertos pela empresa em um mês dentro de um ano multiplicado por 1,33%  conforme  Anuário Estatístico de Acidentes do Trabalho-2016(AEAT/INSS2016)(http://sa.previdencia.gov.br/site/2018/04/AEAT-2016.pdf). 
</t>
        </r>
      </text>
    </comment>
    <comment ref="G86" authorId="0">
      <text>
        <r>
          <rPr>
            <sz val="10"/>
            <color rgb="FF000000"/>
            <rFont val="Arial"/>
            <family val="2"/>
            <charset val="1"/>
          </rPr>
          <t>Valor do custo referente aos 15 primeiros dias em que o empregado encontra-se afastado por acidente de trabalho e a empresa contratada tem o dever de remunerá-lo. Após esse período o ônus passa a ser do INSS. De acordo com os números mais recentes apresentados pelo Ministério da Previdência e Assistência Social, baseados em informações prestadas pelos empregadores, por meio de GFIP, 0,78% dos empregados se acidentam no ano. Assim, a provisão corresponde a:
((15/30)/12) x 0,0078 x 100 = 0,03%
Esse valor pode variar conforme dados estatísticos da empresa.</t>
        </r>
      </text>
    </comment>
    <comment ref="B88" authorId="0">
      <text>
        <r>
          <rPr>
            <b/>
            <sz val="9"/>
            <color rgb="FF000000"/>
            <rFont val="Tahoma"/>
            <family val="2"/>
            <charset val="1"/>
          </rPr>
          <t>Usuário do Windows:</t>
        </r>
        <r>
          <rPr>
            <sz val="9"/>
            <color rgb="FF000000"/>
            <rFont val="Tahoma"/>
            <family val="2"/>
            <charset val="1"/>
          </rPr>
          <t>Esse item (Ausência por doença), foi exlcuido do modelo de tabela da IN05/2017, mas não foi dito o motivo, nem mesmo se deveria ser computado por exemplo com o item Ausências Legais,</t>
        </r>
        <r>
          <rPr>
            <b/>
            <sz val="9"/>
            <color rgb="FF000000"/>
            <rFont val="Tahoma"/>
            <family val="2"/>
            <charset val="1"/>
          </rPr>
          <t>enquanto não sai o manual de prenchimento de planilha</t>
        </r>
        <r>
          <rPr>
            <sz val="9"/>
            <color rgb="FF000000"/>
            <rFont val="Tahoma"/>
            <family val="2"/>
            <charset val="1"/>
          </rPr>
          <t>prometido pelo Ministério do Planejamento acho prudente continuar usando o percentual por se tratar do mais impactante na planilha de custos.</t>
        </r>
      </text>
    </comment>
    <comment ref="G88" authorId="0">
      <text>
        <r>
          <rPr>
            <sz val="10"/>
            <color rgb="FF000000"/>
            <rFont val="Arial"/>
            <family val="2"/>
            <charset val="1"/>
          </rPr>
          <t>Esta parcela refere-se aos dias em que o empregado fica doente e a contratada deve providenciar sua substituição. Entendemos que deva ser adotado 5,96 dias, conforme consta no memorial de cálculo encaminhado pelo MP, devendo-se converter esses dias em mês e depois dividi-lo pelo número de meses no ano. (Acórdão 1753/2008 – Plenário TCU)
Cálculo:
(5,96/30)/12 x 100 = 1,66%;
Esse valor pode variar conforme dados estatísticos da empresa.</t>
        </r>
      </text>
    </comment>
    <comment ref="B94" authorId="0">
      <text>
        <r>
          <rPr>
            <b/>
            <sz val="9"/>
            <color rgb="FF000000"/>
            <rFont val="Tahoma"/>
            <family val="2"/>
            <charset val="1"/>
          </rPr>
          <t>Usuário do Windows:</t>
        </r>
        <r>
          <rPr>
            <sz val="9"/>
            <color rgb="FF000000"/>
            <rFont val="Tahoma"/>
            <family val="2"/>
            <charset val="1"/>
          </rPr>
          <t>Texto extraído da IN 05/2017 
Nota: Quando houver a necessidade de reposição de um empregado durante sua ausência nos casos de intervalo para repouso ou alimentação deve-se contemplar o Submódulo 4.2.</t>
        </r>
      </text>
    </comment>
    <comment ref="B108" authorId="0">
      <text>
        <r>
          <rPr>
            <b/>
            <sz val="9"/>
            <color rgb="FF000000"/>
            <rFont val="Tahoma"/>
            <family val="2"/>
            <charset val="1"/>
          </rPr>
          <t>Usuário do Windows:</t>
        </r>
        <r>
          <rPr>
            <sz val="9"/>
            <color rgb="FF000000"/>
            <rFont val="Tahoma"/>
            <family val="2"/>
            <charset val="1"/>
          </rPr>
          <t> Definição
Correspondem aos dispêndios relativos aos custos indiretos, tributos e lucros. Na metodologia de cálculo dos valores limites é denominado CITL.</t>
        </r>
      </text>
    </comment>
    <comment ref="F109" authorId="0">
      <text>
        <r>
          <rPr>
            <b/>
            <sz val="9"/>
            <color rgb="FF000000"/>
            <rFont val="Tahoma"/>
            <family val="2"/>
            <charset val="1"/>
          </rPr>
          <t>Usuário do Windows:
Texto extraído do Manual de preenchimento de Planilha MPOG 2011</t>
        </r>
        <r>
          <rPr>
            <sz val="9"/>
            <color rgb="FF000000"/>
            <rFont val="Tahoma"/>
            <family val="2"/>
            <charset val="1"/>
          </rPr>
          <t>Nota Explicativa: 
Custos indiretos: são os gastos da contratada com sua estrutura administrativa, organizacional e gerenciamento de seus contratos, tais como as despesas relativas a: a) funcionamento e manutenção da sede, tais como aluguel, água, luz, telefone, o Imposto Predial Territorial Urbano – IPTU, dentre outros; b) pessoal administrativo; c) material e equipamentos de escritório; d) supervisão de serviços;  e) seguros.
 -</t>
        </r>
        <r>
          <rPr>
            <b/>
            <sz val="9"/>
            <color rgb="FF000000"/>
            <rFont val="Tahoma"/>
            <family val="2"/>
            <charset val="1"/>
          </rPr>
          <t>Observação (1) -  No cálculo dos valores limites para os serviços de vigilância e limpeza foram estabelecidos os percentuais de 6% e 3% respectivamente</t>
        </r>
        <r>
          <rPr>
            <sz val="9"/>
            <color rgb="FF000000"/>
            <rFont val="Tahoma"/>
            <family val="2"/>
            <charset val="1"/>
          </rPr>
          <t>. Os custos indiretos são calculados mediante incidência daqueles percentuais sobre o somatório da remuneração, benefícios mensais e diários, insumos diversos, encargos sociais e trabalhistas.</t>
        </r>
        <r>
          <rPr>
            <b/>
            <sz val="12"/>
            <color rgb="FFFF0000"/>
            <rFont val="Tahoma"/>
            <family val="2"/>
            <charset val="1"/>
          </rPr>
          <t>Na verdade o esse texto traz arredondamentos, sendo que a Margem de lucro definida em estudo na Caderno de Limpeza do MPOG 2014 é</t>
        </r>
        <r>
          <rPr>
            <b/>
            <sz val="12"/>
            <color rgb="FF000000"/>
            <rFont val="Tahoma"/>
            <family val="2"/>
            <charset val="1"/>
          </rPr>
          <t>de 6,79% para Lucro e 3% para Custos Indiretos</t>
        </r>
        <r>
          <rPr>
            <b/>
            <sz val="12"/>
            <color rgb="FFFF0000"/>
            <rFont val="Tahoma"/>
            <family val="2"/>
            <charset val="1"/>
          </rPr>
          <t>, para os serviços de Vigilância e limpeza</t>
        </r>
        <r>
          <rPr>
            <sz val="9"/>
            <color rgb="FF000000"/>
            <rFont val="Tahoma"/>
            <family val="2"/>
            <charset val="1"/>
          </rPr>
          <t>________________________________________________________________________________________________________________</t>
        </r>
        <r>
          <rPr>
            <b/>
            <sz val="9"/>
            <color rgb="FF000000"/>
            <rFont val="Tahoma"/>
            <family val="2"/>
            <charset val="1"/>
          </rPr>
          <t>IN nº 05/17 – anexo vii-a</t>
        </r>
        <r>
          <rPr>
            <sz val="9"/>
            <color rgb="FF000000"/>
            <rFont val="Tahoma"/>
            <family val="2"/>
            <charset val="1"/>
          </rPr>
          <t>9.2  Consideram-se preços manifestamente inexeqüíveis aqueles que, comprovadamente, forem insuficientes para a cobertura dos custos decorrentes da contratação pretendida.
9.3 A inexeqüibilidade dos valores referentes a itens isolados da planilha de custos  e formação de preços não caracteriza motivo suficiente para a desclassificação da proposta, , desde que não contrariem exigências legais.
9.4 Se houver indícios de inexequibilidade da proposta de preço, ou em caso da necessidade de esclarecimentos complementares, poderá ser efetuada diligência, na forma do § 3° do art. 43 da Lei n° 8.666, de 1993, para efeito de comprovação de sua exequibilidade, podendo ser adotado, dentre outros, os seguintes procedimentos:
questionamentos junto à proponente para a apresentação de justificativas e comprovações em relação aos custos com indícios de inexequibilidade;verificação de Acordos, Convenções ou Dissídios Coletivos de Trabalho;levantamento de informações junto ao Ministério do Trabalho; consultas a entidades ou conselhos de classe, sindicatos ou similares; pesquisas em órgãos públicos ou empresas privadas verificação de outros contratos que o proponente mantenha com a Administração ou com a iniciativa privada;pesquisa de preço com fornecedores dos insumos utilizados, tais como: atacadistas, lojas de suprimentos,supermercados e fabricantes;verificação de notas fiscais dos produtos adquiridos pelo proponente;
levantamento de indicadores salariais ou trabalhistas publicados por órgãos de pesquisa;estudos setoriais;consultas às Fazendas Federal, Distrital, Estadual ou Municipal; eanálise de soluções técnicas escolhidas e/ou condições excepcionalmente favoráveis que o proponente disponha para a prestação dos serviços.
9.5 Qualquer interessado poderá requerer que se realizem diligências para aferir a exequibilidade e a legalidade das propostas, devendo apresentar as provas ou os indícios que fundamentam o pedido;
9.6 Quando o licitante apresentar</t>
        </r>
        <r>
          <rPr>
            <b/>
            <sz val="9"/>
            <color rgb="FF000000"/>
            <rFont val="Tahoma"/>
            <family val="2"/>
            <charset val="1"/>
          </rPr>
          <t>preço final inferior a 30% da média dos preços ofertados</t>
        </r>
        <r>
          <rPr>
            <sz val="9"/>
            <color rgb="FF000000"/>
            <rFont val="Tahoma"/>
            <family val="2"/>
            <charset val="1"/>
          </rPr>
          <t>para o mesmo item, e a inexequibilidade da proposta não for flagrante e evidente pela análise da planilha de custos e formação de preços,</t>
        </r>
        <r>
          <rPr>
            <b/>
            <sz val="9"/>
            <color rgb="FF000000"/>
            <rFont val="Tahoma"/>
            <family val="2"/>
            <charset val="1"/>
          </rPr>
          <t>não sendo possível a sua imediata desclassificaçã</t>
        </r>
        <r>
          <rPr>
            <sz val="9"/>
            <color rgb="FF000000"/>
            <rFont val="Tahoma"/>
            <family val="2"/>
            <charset val="1"/>
          </rPr>
          <t>o, será obrigatória a realização de diligências para aferir a legalidade e exequibilidade da proposta.
________________________________________________________________________________________________________________</t>
        </r>
        <r>
          <rPr>
            <b/>
            <sz val="9"/>
            <color rgb="FF000000"/>
            <rFont val="Tahoma"/>
            <family val="2"/>
            <charset val="1"/>
          </rPr>
          <t>TCU –Acórdão nº 1.214/2013 – Plenário
III.H percentuais mínimos aceitáveis para encargos sociais e ldi</t>
        </r>
        <r>
          <rPr>
            <sz val="9"/>
            <color rgb="FF000000"/>
            <rFont val="Tahoma"/>
            <family val="2"/>
            <charset val="1"/>
          </rPr>
          <t>219. Do mesmo modo, lucro, como se sabe, pode ser maximizado com uma boa gestão de mão de obra, mas não se deve abrir mão de um mínimo aceitável, pois não é crível que prestadores de serviços estejam dispostos a trabalharem de graça para o erário. Não fixar lucro mínimo é um incentivo para que as empresas avancem sobre outras verbas, como direitos trabalhistas, tributos e contribuições compulsórias, como tem sido praxe.
220. Também as despesas administrativas, devem ser objeto de análise pela administração, pois não é razoável que a empresa não possua esse gasto. No entanto, é aceitável que existam justificativas para reduzí-lo ou eliminá-lo, por exemplo, que a empresa administre muitos contratos, ou que se trate de uma empresa familiar, mas para isso a empresa necessite apresenta-las.
_______________________________________________________________________________________________________________</t>
        </r>
        <r>
          <rPr>
            <b/>
            <sz val="9"/>
            <color rgb="FF000000"/>
            <rFont val="Tahoma"/>
            <family val="2"/>
            <charset val="1"/>
          </rPr>
          <t>Mas em outro acordão o TCU definiu que  os % são livres para serem definidos por cada fornecedor:
(Acórdão 325/2007-TCU-Plenário).Não há vedação legalà atuação, por parte de empresas contratadas pela Administração Pública Federal,sem margem de lucro ou com margem de lucro mínima, pois tal fato depende da estratégia comercial da empresa e não conduz, necessariamente, à inexecução da proposta.
___________________________________________________________________________________________________Outro Acórdão que parece trazer certa solução, estabelece que os percentuais mínimos devem ser estabelecidos em Edital.A desclassificação de proposta por inexequibilidade deve ser objetivamente demonstrada, a partir de critérios previamente publicados (Acórdãos 2.528/2012 e 1.092/2013, ambos do Plenário).
Vale destacar que a questão foi abordada no Acórdão nº 1.214/13-Plenário, em sede de representação formulada a partir de trabalho realizado por grupo de estudos, constituído com o objetivo de apresentar proposições de melhorias nos procedimentos relativos à terceirização de serviços continuados na Administração Pública Federal. Um dos problemas apontados naquela ocasião foi justamente a dificuldade enfrentada pela Administração no exame de exequibilidade das propostas, em razão da ausência de parâmetros seguros de análise.
De acordo coma conclusão do grupo, “(…)os editais deveriam consignar expressamente as condições mínimas para que as propostas sejam consideradas exequíveis, proibindo propostas com lucro e despesas administrativas iguais a zero, entre outros, em razão de esse percentual englobar os impostos e contribuições não repercutíveis (IR, CSLL). Registre-se que o grupo não determinou quais seriam as condições mínimas ideais, de modo que deverá ser realizado estudo para determiná-las e, assim, possibilitar a implementação dessa proposta.”________________________________________________________________________________________________________________</t>
        </r>
      </text>
    </comment>
    <comment ref="F110" authorId="0">
      <text>
        <r>
          <rPr>
            <sz val="10"/>
            <color rgb="FF000000"/>
            <rFont val="Arial"/>
            <family val="2"/>
            <charset val="1"/>
          </rPr>
          <t>(Acórdão 325/2007-TCU-Plenário).</t>
        </r>
        <r>
          <rPr>
            <b/>
            <sz val="10"/>
            <color rgb="FF000000"/>
            <rFont val="Arial"/>
            <family val="2"/>
            <charset val="1"/>
          </rPr>
          <t>Não há vedação legal</t>
        </r>
        <r>
          <rPr>
            <sz val="10"/>
            <color rgb="FF000000"/>
            <rFont val="Arial"/>
            <family val="2"/>
            <charset val="1"/>
          </rPr>
          <t>à atuação, por parte de empresas contratadas pela Administração Pública Federal,</t>
        </r>
        <r>
          <rPr>
            <b/>
            <sz val="10"/>
            <color rgb="FF000000"/>
            <rFont val="Arial"/>
            <family val="2"/>
            <charset val="1"/>
          </rPr>
          <t>sem margem de lucro ou com margem de lucro mínima</t>
        </r>
        <r>
          <rPr>
            <sz val="10"/>
            <color rgb="FF000000"/>
            <rFont val="Arial"/>
            <family val="2"/>
            <charset val="1"/>
          </rPr>
          <t>, pois tal fato depende da estratégia comercial da empresa e não conduz, necessariamente, à inexecução da proposta
2. A desclassificação de proposta por inexequibilidade deve ser objetivamente demonstrada, a partir de critérios previamente publicados (Acórdãos 2.528/2012 e 1.092/2013, ambos do Plenário)
------------------------------------------------------------------------------------------------------------------------------------------
Mas em outro acórdão o TCU deliberou o seguinte:
Vale destacar que a questão foi abordada no Acórdão nº 1.214/13-Plenário, em sede de representação formulada a partir de trabalho realizado por grupo de estudos, constituído com o objetivo de apresentar proposições de melhorias nos procedimentos relativos à terceirização de serviços continuados na Administração Pública Federal. Um dos problemas apontados naquela ocasião foi justamente a dificuldade enfrentada pela Administração no exame de exequibilidade das propostas, em razão da ausência de parâmetros seguros de análise.
De acordo coma conclusão do grupo, “(…)</t>
        </r>
        <r>
          <rPr>
            <b/>
            <sz val="10"/>
            <color rgb="FF000000"/>
            <rFont val="Arial"/>
            <family val="2"/>
            <charset val="1"/>
          </rPr>
          <t>os editais deveriam consignar expressamente as condições mínimas para que as propostas sejam consideradas exequíveis, proibindo propostas com lucro e despesas administrativas iguais a zero</t>
        </r>
        <r>
          <rPr>
            <sz val="10"/>
            <color rgb="FF000000"/>
            <rFont val="Arial"/>
            <family val="2"/>
            <charset val="1"/>
          </rPr>
          <t>, entre outros, em razão de esse percentual englobar os impostos e contribuições não repercutíveis (IR, CSLL). Registre-se que o grupo não determinou quais seriam as condições mínimas ideais, de modo que deverá ser realizado estudo para determiná-las e, assim, possibilitar a implementação dessa proposta.”
------------------------------------------------------------------------------------------------------------------------------------------</t>
        </r>
        <r>
          <rPr>
            <b/>
            <sz val="10"/>
            <color rgb="FFFF0000"/>
            <rFont val="Arial"/>
            <family val="2"/>
            <charset val="1"/>
          </rPr>
          <t>Conclusão:
Melhor solução, estabelecer nos Editais com base em estudos percentuais minímos de lucros e custos indiretos</t>
        </r>
      </text>
    </comment>
    <comment ref="G113" authorId="0">
      <text>
        <r>
          <rPr>
            <sz val="10"/>
            <color rgb="FF000000"/>
            <rFont val="Arial"/>
            <family val="2"/>
            <charset val="1"/>
          </rPr>
          <t>Empresas Lucro Presumido:
PIS: 0,65% / COFINS: 3,00%
Empresas Lucro Real:
PIS: 1,65% / COFINS: 7,60%
Para as empresas optantes pelo Simples Nacional, a tributação varia conforme o faturamento mensal.
Soma-se os módulo 1,2,3,4,5, bem como os Custos Indiretos e o Lucro. Em seguida divide-se pelo Fator de Divisão, conforme a tributação aplicada (presumido,real,SIMPLES). Dessa forma, encontra-se o faturamento o qual incidirá a alíquota do PIS (PRESUMIDO).</t>
        </r>
      </text>
    </comment>
    <comment ref="G114" authorId="0">
      <text>
        <r>
          <rPr>
            <sz val="10"/>
            <color rgb="FF000000"/>
            <rFont val="Arial"/>
            <family val="2"/>
            <charset val="1"/>
          </rPr>
          <t>Empresas Lucro Presumido:
PIS: 0,65% / COFINS: 3,00%
Empresas Lucro Real:
PIS: 1,65% / COFINS: 7,60%
Para as empresas optantes pelo Simples Nacional, a tributação varia conforme o faturamento mensal.
Soma-se os módulo 1,2,3,4,5, bem como os Custos Indiretos e o Lucro. Em seguida divide-se pelo Fator de Divisão, conforme a tributação aplicada (presumido,real,SIMPLES). Dessa forma, encontra-se o faturamento o qual incidirá a alíquota do COFINS (PRESUMIDO).</t>
        </r>
      </text>
    </comment>
    <comment ref="G116" authorId="0">
      <text>
        <r>
          <rPr>
            <sz val="10"/>
            <color rgb="FF000000"/>
            <rFont val="Arial"/>
            <family val="2"/>
            <charset val="1"/>
          </rPr>
          <t>SANTOS DUMONT 3% (PODE VARIAR CONFORME MUNICÍPIO)
ALÍQUOTAS  SIMPLES, CONFORME TABELA A SEGUIR:
Antigo Anexo III do Simples Nacional (alterada em 2018)
Receita Bruta em 12 meses (em R$)	Alíquota Total	IRPJ	CSLL	COFINS	PIS	CPP	ISS
De R$ 0,00 a R$ 180.000,00            	6,00%	0,00%	0,00%	0,00%	0,00%	4,00%	2,00%
De R$ 180.000,01 a R$ 360.000,00 	8,21%	0,00%	0,00%	1,42%	0,00%	4,00%	2,79%
De R$ 360.000,01 a R$ 540.000,00 	10,26%	0,48%	0,43%	1,43%	0,35%	4,07%	3,50%
De R$ 540.000,01 a R$ 720.000,00 	11,31%	0,53%	0,53%	1,56%	0,38%	4,47%	3,84%
De R$ 720.000,01 a R$ 900.000,00 	11,40%	0,53%	0,52%	1,58%	0,38%	4,52%	3,87%
De R$ 900.000,01 a R$ 1.080.000,00 	12,42%	0,57%	0,57%	1,73%	0,40%	4,92%	4,23%
De R$ 1.080.000,01 a R$ 1.260.000,00 	12,54%	0,59%	0,56%	1,74%	0,42%	4,97%	4,26%
De R$ 1.260.000,01 a R$ 1.440.000,00 	12,68%	0,59%	0,57%	1,76%	0,42%	5,03%	4,31%
De R$ 1.440.000,01 a R$ 1.620.000,00 	13,55%	0,63%	0,61%	1,88%	0,45%	5,37%	4,61%
De R$ 1.620.000,01 a R$ 1.800.000,00 	13,68%	0,63%	0,64%	1,89%	0,45%	5,42%	4,65%
De R$ 1.800.000,01 a R$ 1.980.000,00 	14,93%	0,69%	0,69%	2,07%	0,50%	5,98%	5,00%
De R$ 1.980.000,01 a R$ 2.160.000,00 	15,06%	0,69%	0,69%	2,09%	0,50%	6,09%	5,00%
De R$ 2.160.000,01 a R$ 2.340.000,00 	15,20%	0,71%	0,70%	2,10%	0,50%	6,19%	5,00%
De R$ 2.340.000,01 a R$ 2.520.000,00 	15,35%	0,71%	0,70%	2,13%	0,51%	6,30%	5,00%
De R$ 2.520.000,01 a R$ 2.700.000,00 	15,48%	0,72%	0,70%	2,15%	0,51%	6,40%	5,00%
De R$ 2.700.000,01 a R$ 2.880.000,00 	16,85%	0,78%	0,76%	2,34%	0,56%	7,41%	5,00%
De R$ 2.880.000,01 a R$ 3.060.000,00 	16,98%	0,78%	0,78%	2,36%	0,56%	7,50%	5,00%
De R$ 3.060.000,01 a R$ 3.240.000,00 	17,13%	0,80%	0,79%	2,37%	0,57%	7,60%	5,00%
De R$ 3.240.000,01 a R$ 3.420.000,00 	17,27%	0,80%	0,79%	2,40%	0,57%	7,71%	5,00%
De R$ 3.420.000,01 a R$ 3.600.000,00 	17,42%	0,81%	0,79%	2,42%	0,57%	7,83%	5,00%</t>
        </r>
        <r>
          <rPr>
            <b/>
            <sz val="10"/>
            <color rgb="FF000000"/>
            <rFont val="Arial"/>
            <family val="2"/>
            <charset val="1"/>
          </rPr>
          <t>É aconselhável buscar auxilio do setor contábil do órgão para aferição dos tributos.</t>
        </r>
      </text>
    </comment>
    <comment ref="B133" authorId="0">
      <text>
        <r>
          <rPr>
            <sz val="10"/>
            <color rgb="FF000000"/>
            <rFont val="Arial"/>
            <family val="2"/>
            <charset val="1"/>
          </rPr>
          <t>Serviços de Limpeza devem usar o Quadro 6 da Planilha modelo da IN  05/2017 ( esta planilha já está configurada na aba por M²).
Serviços de Vigilância devem usar o quadro 5 da  da Planilha modelo da IN  05/2017</t>
        </r>
      </text>
    </comment>
  </commentList>
</comments>
</file>

<file path=xl/comments11.xml><?xml version="1.0" encoding="utf-8"?>
<comments xmlns="http://schemas.openxmlformats.org/spreadsheetml/2006/main">
  <authors>
    <author>Autor</author>
  </authors>
  <commentList>
    <comment ref="A3" authorId="0">
      <text>
        <r>
          <rPr>
            <sz val="10"/>
            <color rgb="FF000000"/>
            <rFont val="Arial"/>
            <family val="2"/>
            <charset val="1"/>
          </rPr>
          <t>ESSAS INFORMAÇÕES DEVEM SER REPASSADAS VIA EMAIL PELO SETOR DE LICITAÇÃO</t>
        </r>
      </text>
    </comment>
    <comment ref="H27" authorId="0">
      <text>
        <r>
          <rPr>
            <sz val="10"/>
            <color rgb="FF000000"/>
            <rFont val="Arial"/>
            <family val="2"/>
            <charset val="1"/>
          </rPr>
          <t>COLOCAR O VALOR DA CCT MAS DEIXAR ABERTO PARA FORNECEDOR ALTERAR “ SÓ PODE SER MAIOR QUE A CCT”</t>
        </r>
      </text>
    </comment>
    <comment ref="B28" authorId="0">
      <text>
        <r>
          <rPr>
            <sz val="10"/>
            <color rgb="FF000000"/>
            <rFont val="Arial"/>
            <family val="2"/>
            <charset val="1"/>
          </rPr>
          <t>Previsto em legislação ou acordo coletivo para trabalhos que impliquem em condições de risco à saúde ou integridade física do trabalhador.
30% sobre o salário base.</t>
        </r>
      </text>
    </comment>
    <comment ref="D28" authorId="0">
      <text>
        <r>
          <rPr>
            <sz val="10"/>
            <color rgb="FF000000"/>
            <rFont val="Arial"/>
            <family val="2"/>
            <charset val="1"/>
          </rPr>
          <t>Selecionar:
*Com Periculosidade
* Sem Periculosidade</t>
        </r>
      </text>
    </comment>
    <comment ref="E28" authorId="0">
      <text>
        <r>
          <rPr>
            <sz val="10"/>
            <color rgb="FF000000"/>
            <rFont val="Arial"/>
            <family val="2"/>
            <charset val="1"/>
          </rPr>
          <t>Selecionar 0% quando não houver Periculosidade e 30% quando incidir</t>
        </r>
      </text>
    </comment>
    <comment ref="B29" authorId="0">
      <text>
        <r>
          <rPr>
            <sz val="10"/>
            <color rgb="FF000000"/>
            <rFont val="Arial"/>
            <family val="2"/>
            <charset val="1"/>
          </rPr>
          <t>O salário de referência para cálculo do seu custo é o salário mínimo estadual ou o nacional ou o salário normativo da categoria se expressamente estabelecido no acordo ou convenção coletiva.
São operações que, por sua natureza, condições ou métodos de trabalho, exponham os empregados a agentes nocivos à saúde, acima dos limites de tolerância fixados em razão da natureza e da intensidade do agente e do tempo de exposição aos seus efeitos. (Art. 189, CLT)
Grau máximo: 40%;
Grau médio: 20%;
Grau mínimo: 10%.</t>
        </r>
      </text>
    </comment>
    <comment ref="B31" authorId="0">
      <text>
        <r>
          <rPr>
            <sz val="10"/>
            <color rgb="FF000000"/>
            <rFont val="Arial"/>
            <family val="2"/>
            <charset val="1"/>
          </rPr>
          <t>Verificar as auterações trazidas pela Reforma Trabalhista – Á principio aguardar as Novas CCT´s
Conferido ao trabalhador por trabalho executado entre as 22 horas de um dia e as 5 horas do dia seguinte.
Remunerado com adicional de, pelo menos, 20% sobre a hora diurna.
Adicional noturno para 1 hora trabalhada = Valor da hora diurna X 20%
Valor da hora diurna = Salário base / Total de horas trabalhadas no mês
O total de horas trabalhadas no mês calcula-se considerando 5 semanas de trabalho, conforme determinação do MTE.
Exemplo:
Salário: R$2.200,00
Valor da hora diurna: 2.200,00 / 220 horas (jornada de 44 horas semanais) = R$10,00
Adicional noturno para 1 hora trabalhada = 10,00 X 20% = R$2,00</t>
        </r>
      </text>
    </comment>
    <comment ref="D31" authorId="0">
      <text>
        <r>
          <rPr>
            <sz val="10"/>
            <color rgb="FF000000"/>
            <rFont val="Arial"/>
            <family val="2"/>
            <charset val="1"/>
          </rPr>
          <t>Selecionar entre:
Mínimo
Médio 
Máximo
Sem Insalubridade</t>
        </r>
      </text>
    </comment>
    <comment ref="E31" authorId="0">
      <text>
        <r>
          <rPr>
            <sz val="10"/>
            <color rgb="FF000000"/>
            <rFont val="Arial"/>
            <family val="2"/>
            <charset val="1"/>
          </rPr>
          <t>Selecionar entre:
0%
10%
20%
40%
E o valor da Insalubridade será calculado sobre o valor da salário</t>
        </r>
      </text>
    </comment>
    <comment ref="F31" authorId="0">
      <text>
        <r>
          <rPr>
            <sz val="10"/>
            <color rgb="FF000000"/>
            <rFont val="Arial"/>
            <family val="2"/>
            <charset val="1"/>
          </rPr>
          <t>Digitar valo do Salário Mínimo ou o da Categoria se expressamente estabelecido em Convenção Coletiva</t>
        </r>
      </text>
    </comment>
    <comment ref="B32" authorId="0">
      <text>
        <r>
          <rPr>
            <sz val="10"/>
            <color rgb="FF000000"/>
            <rFont val="Arial"/>
            <family val="2"/>
            <charset val="1"/>
          </rPr>
          <t>Corresponde a 52 minutos e 30 segundos.
A hora noturna adicional corresponde à diferença da hora noturna menos a hora normal.
Hora noturna = Hora normal X (60/52,5)
Hora noturna = Hora normal X 1,14285714
Exemplo:
Salário: R$2.200,00
Valor da hora diurna: 2.200,00 / 220 horas (jornada de 44 horas semanais) = R$10,00
Hora noturna = 10,00 X 1,14285714 = R$11,42
Hora noturna adicional = Hora noturna – Hora normal
Hora noturna adicional = (11,42 X 20%) - (R$10,00 X 20%) = 2,286 – 2,00 = 0,286</t>
        </r>
      </text>
    </comment>
    <comment ref="H33" authorId="0">
      <text>
        <r>
          <rPr>
            <b/>
            <sz val="9"/>
            <color indexed="81"/>
            <rFont val="Tahoma"/>
            <family val="2"/>
          </rPr>
          <t>UFERSA:O adicional noturno influenciará no repouso semanal remunerado, portando para compensar o descanso semanal decorrente do labor noturno, o empregado também terá reflexo em seu descanso remunerado de adicional noturno.  Em decorrência do valor do posto ser mensal, ou seja de um mês qualquer, os dias úteis, domingos e feriados foram tomados como uma média mensal dentro de um período de um ano (2018). Adotamos como o fator multiplicador de 0,229 , igual à (1/média de dias úteis 2018)xmédia de feriados e domingos em  2018.</t>
        </r>
        <r>
          <rPr>
            <sz val="9"/>
            <color indexed="81"/>
            <rFont val="Tahoma"/>
            <family val="2"/>
          </rPr>
          <t xml:space="preserve">
</t>
        </r>
      </text>
    </comment>
    <comment ref="B35" authorId="0">
      <text>
        <r>
          <rPr>
            <sz val="10"/>
            <color rgb="FF000000"/>
            <rFont val="Arial"/>
            <family val="2"/>
            <charset val="1"/>
          </rPr>
          <t>Relativo ao trabalho realizado além da jornada diária regular estabelecida, com acréscimo de no mínimo 50% do valor da hora normal para trabalho extra (entre segunda e sábado) e de 100% em domingos e feriados.
Não pode ser maior do que 2 horas diárias. (Art. 59, CLT)</t>
        </r>
      </text>
    </comment>
    <comment ref="B41" authorId="0">
      <text>
        <r>
          <rPr>
            <b/>
            <sz val="10"/>
            <color rgb="FF000000"/>
            <rFont val="Arial"/>
            <family val="2"/>
            <charset val="1"/>
          </rPr>
          <t>Cálculo de acordo com o Manual para preenchimento de Planilha do MPOG de 2011</t>
        </r>
        <r>
          <rPr>
            <sz val="10"/>
            <color rgb="FF000000"/>
            <rFont val="Arial"/>
            <family val="2"/>
            <charset val="1"/>
          </rPr>
          <t>Considerando que na duração do contrato de 60 meses o empregado tem 5 meses de férias e labora em 56 meses:
(5/56) x 100 = 8,93%;</t>
        </r>
        <r>
          <rPr>
            <b/>
            <sz val="10"/>
            <color rgb="FF000000"/>
            <rFont val="Arial"/>
            <family val="2"/>
            <charset val="1"/>
          </rPr>
          <t>Cálculo de acordo com o Caderno de Logistica/ Serviços de limpeza  MPOG de 2014</t>
        </r>
        <r>
          <rPr>
            <sz val="10"/>
            <color rgb="FF000000"/>
            <rFont val="Arial"/>
            <family val="2"/>
            <charset val="1"/>
          </rPr>
          <t>Para os contratos de 1 ano (12 meses) o empregado trabalha 12 meses e tem direito a 1 mês de férias, o que significa:
(1/12) x 100 = 8,33%.
Por derradeiro a IN 05/2017, trouxe o seguinte texto
Nota 1: Como a planilha de custos e formação de preços é calculada mensalmente, provisiona-se
proporcionalmente 1/12 (um doze avos) dos valores referentes a gratificação natalina e adicional
de férias.</t>
        </r>
        <r>
          <rPr>
            <b/>
            <sz val="10"/>
            <color rgb="FF000000"/>
            <rFont val="Arial"/>
            <family val="2"/>
            <charset val="1"/>
          </rPr>
          <t>( No meu entendimento definiu que o percentual do 13° é de 8,33% ), 
MAS É NECESSÁRIO ESPERAR SAIR O MANUAL DE PREENCHIMENTO DA PLANILHA, TÃO PROMETIDO PARA  SE BATER O MARTELO, POIS COSTUMA UMA PUBLICAÇÃO NÃO BATER COM A OUTRA, SÓ PARA VARIAR.</t>
        </r>
      </text>
    </comment>
    <comment ref="G41" authorId="0">
      <text>
        <r>
          <rPr>
            <b/>
            <sz val="9"/>
            <color rgb="FF000000"/>
            <rFont val="Tahoma"/>
            <family val="2"/>
            <charset val="1"/>
          </rPr>
          <t>Usuário do Windows:</t>
        </r>
        <r>
          <rPr>
            <sz val="9"/>
            <color rgb="FF000000"/>
            <rFont val="Tahoma"/>
            <family val="2"/>
            <charset val="1"/>
          </rPr>
          <t>8,33% ou 8,93% Ler comentário na descrição do item 13º SALÁRIO ao lado</t>
        </r>
      </text>
    </comment>
    <comment ref="B42" authorId="0">
      <text>
        <r>
          <rPr>
            <sz val="10"/>
            <color rgb="FF000000"/>
            <rFont val="Arial"/>
            <family val="2"/>
            <charset val="1"/>
          </rPr>
          <t>.( Art. 129,Art. 130, inciso I da CLT e Art. 7° , inciso XCII da CF/88 [=(1/12)+(1/3)/12]</t>
        </r>
        <r>
          <rPr>
            <b/>
            <sz val="10"/>
            <color rgb="FF000000"/>
            <rFont val="Arial"/>
            <family val="2"/>
            <charset val="1"/>
          </rPr>
          <t>Quando é retido a conta vinculada o calculo deve ser [</t>
        </r>
        <r>
          <rPr>
            <sz val="10"/>
            <color rgb="FF000000"/>
            <rFont val="Arial"/>
            <family val="2"/>
            <charset val="1"/>
          </rPr>
          <t>=(1/11)+(1/3/11) que dá os 12,10% retidos na conta vinculada (calculo CNJ).
A IN 05/2017, trouxe o seguinte texto com relação ao módulo 2.1
Nota 1: Como a planilha de custos e formação de preços é calculada mensalmente, provisiona-se
proporcionalmente 1/12 (um doze avos) dos valores referentes a gratificação natalina e adicional
de férias.</t>
        </r>
        <r>
          <rPr>
            <b/>
            <sz val="10"/>
            <color rgb="FF000000"/>
            <rFont val="Arial"/>
            <family val="2"/>
            <charset val="1"/>
          </rPr>
          <t>( No meu entendimento definiu que o percentual do 13° é de 8,33% ),</t>
        </r>
        <r>
          <rPr>
            <b/>
            <u/>
            <sz val="10"/>
            <color rgb="FF000000"/>
            <rFont val="Arial"/>
            <family val="2"/>
            <charset val="1"/>
          </rPr>
          <t>MAS É NECESSÁRIO ESPERAR SAIR O MANUAL DE PREENCHIMENTO DA PLANILHA, TÃO PROMETIDO PARA BATER O MARTELO, POIS COSTUMA UMA PUBLICAÇÃO NÃO BATER COM A OUTRA, SÓ PARA VARIAR.</t>
        </r>
        <r>
          <rPr>
            <sz val="10"/>
            <color rgb="FF000000"/>
            <rFont val="Arial"/>
            <family val="2"/>
            <charset val="1"/>
          </rPr>
          <t>Nota 2: O adicional de férias contido no Submódulo 2.1 corresponde a 1/3 (um terço) da
remuneração que por sua vez é divido por 12 (doze) conforme Nota 1 acima.</t>
        </r>
        <r>
          <rPr>
            <b/>
            <sz val="10"/>
            <color rgb="FF000000"/>
            <rFont val="Arial"/>
            <family val="2"/>
            <charset val="1"/>
          </rPr>
          <t>( Desta forma também defini que o percentual das férias seria 1/12 * 1/3 que corresponde a 11,11% , mas na cartilha da conta vinculada lançada em fevereiro de 2018, continua 12,10% para ser retido e pago na conta vinculada referente a provisão de férias e 1/3)</t>
        </r>
        <r>
          <rPr>
            <b/>
            <u/>
            <sz val="10"/>
            <color rgb="FF000000"/>
            <rFont val="Arial"/>
            <family val="2"/>
            <charset val="1"/>
          </rPr>
          <t>PORTANTO SE FAZ NECESSÁRIO CONTINUAR USANDO O CALCULO DO CNJ DE 12,10% EM CONTRATOS QUE UTILIZEM CONTA VINCULADA, POIS COMO PODERIAMOS RETER UM VALOR QUE NÃO ESTÁ PROVISIONADO NA PLANILHA)</t>
        </r>
      </text>
    </comment>
    <comment ref="G42" authorId="0">
      <text>
        <r>
          <rPr>
            <b/>
            <sz val="9"/>
            <color rgb="FF000000"/>
            <rFont val="Tahoma"/>
            <family val="2"/>
            <charset val="1"/>
          </rPr>
          <t>Usuário do Windows:</t>
        </r>
        <r>
          <rPr>
            <sz val="9"/>
            <color rgb="FF000000"/>
            <rFont val="Tahoma"/>
            <family val="2"/>
            <charset val="1"/>
          </rPr>
          <t>11,11% ou 12,10% Ler comentário na descrição do item FÉRIAS ao lado</t>
        </r>
      </text>
    </comment>
    <comment ref="B46" authorId="0">
      <text>
        <r>
          <rPr>
            <sz val="10"/>
            <color rgb="FF000000"/>
            <rFont val="Arial"/>
            <family val="2"/>
            <charset val="1"/>
          </rPr>
          <t>Contribuição de 20% sobre o total das remunerações destinada à Seguridade Social, conforme determina a Lei 8.212/91.</t>
        </r>
      </text>
    </comment>
    <comment ref="B47" authorId="0">
      <text>
        <r>
          <rPr>
            <sz val="10"/>
            <color rgb="FF000000"/>
            <rFont val="Arial"/>
            <family val="2"/>
            <charset val="1"/>
          </rPr>
          <t>Contribuições sociais destinadas ao Serviço Social da Indústria (SESI) e ao Serviço Social do Comércio (SESC). As empresas optantes pelo Simples Nacional são isentas. Para as demais empresas fica determinado o percentual de 1,5%.</t>
        </r>
      </text>
    </comment>
    <comment ref="D47" authorId="0">
      <text>
        <r>
          <rPr>
            <sz val="10"/>
            <color rgb="FF000000"/>
            <rFont val="Arial"/>
            <family val="2"/>
            <charset val="1"/>
          </rPr>
          <t>Usuário do Windows:
EMPRESAS OPTATANTES PELO SIMPLES ESTÃO ISENTAS DO PAGAMENTO DAS SEGUINTES CONTRIBUIÇÕES:  SESI ou SESC, SENAI ou SENAC, INCRA, Salário-Educação, SEBRAE, Portanto devem ser zeradas na Planilha.
Empresas de sessão de mão de obra não podem ser optantes pelo Simples com excessão das empresas que prestam serviços de serviços de vigilância, limpeza ou conservação desde que não exerçam em conjunto com outras atividades vedadas,c) Regime de Tributação – SIMPLES –Regime Especial Unificado de Arrecadação de Tributos e Contribuições – Microempresas (MEs) e Empresas de Pequeno Porte (EPPs) O SIMPLES consiste em um regime especial unificado de arrecadação de Tributos e Contribuições devidos pelas Microempresas e Empresas de Pequeno Porte, instituído pela Lei Complementar nº 123, de 14 de dezembro de 2006. Lembramos ainda que as microempresas e empresas de pequeno porte optantes pelo Simples Nacional ficam dispensadas do pagamento das demais contribuições instituídas pela União, tais como SESI ou SESC, SENAI ou SENAC, INCRA, Salário-Educação, SEBRAE, conforme expressa previsão legal contida no art. 13, § 3º da Lei Complementar nº 123/2006: § 3º  As microempresas e empresas de pequeno porte optantes pelo Simples Nacional ficam dispensadas do pagamento das demais contribuições instituídas pela União, inclusive as contribuições para as entidades privadas de serviço social e de formação profissional vinculadas ao sistema sindical, de que trata o art. 240 da Constituição Federal, e demais entidades de serviço social autônomo. Nem todas as microempresas ou empresas de pequeno porte poderão recolher os impostos e contribuições na forma do Simples, como por exemplo, as empresas que exercem atividade de cessão ou locação de mão de obra8. As vedações ao ingresso no Simples Nacional estão previstas no art. 17 da Lei Complementar nº 123/2006. 
8 Entende-se por cessão de mão de obra a colocação à disposição da empresa contratante, em suas dependências ou nas de terceiros, de trabalhadores que realizem serviços contínuos, relacionados ou não com sua atividade fim, quaisquer que sejam a natureza e a forma de contratação, inclusive por meio de trabalho temporário na forma da Lei nº 6.019, de 3 de janeiro de 1974. (art.115 Instrução Normativa RFB nº 971, de 13 de novembro de 2009)
117
CAPÍTULO VI – COMPOSIÇÃO DA PLANILHA DE CUSTO E FORMAÇÃO DE PREÇO 
Art. 17. Não poderão recolher os impostos e contribuições na forma do Simples Nacional a microempresa ou a empresa de pequeno porte: (...) XII – que realize cessão ou locação de mão de obra; É importante ressaltar que as vedações previstas no caput do art. 17 da LC nº 123/2006 não se aplicam às pessoas jurídicas que se dediquem exclusivamente às atividades referidas nos §§ 5o-B a 5o-E do art. 18 da Lei Complementar multicitada, ou as exerçam em conjunto com outras atividades que não tenham sido objeto de vedação no mesmo caput. Não se incluem nas vedações, por exemplo, as empresas que prestam serviços de vigilância, limpeza ou conservação desde que não exerçam em conjunto com outras atividades vedadas.
LC 123/2006 – §§ 5o-B a 5o-E do art. 18 da Lei Complementar nº 123/2006 § 5º-H.  A vedação de que trata o inciso XII do caput do art. 17 desta Lei Complementar não se aplica às atividades referidas no § 5º-C deste artigo. (Incluído pela Lei Complementar nº 128, de 2008) § 5º-C.  Sem prejuízo do disposto no § 1º do art. 17 desta Lei Complementar, as atividades de prestação de serviços seguintes serão tributadas na forma do Anexo IV desta Lei Complementar, hipótese em que não estará incluída no Simples Nacional a contribuição prevista no inciso VI do caput do art. 13 desta Lei Complementar, devendo ela ser recolhida segundo a legislação prevista para os demais contribuintes ou responsáveis: (Incluído pela Lei Complementar nº 128, de 2008) (...) VI – serviço de vigilância, limpeza ou conservação. (Incluído pela Lei Complementar nº 128, de 2008)</t>
        </r>
      </text>
    </comment>
    <comment ref="G47" authorId="0">
      <text>
        <r>
          <rPr>
            <sz val="9"/>
            <color rgb="FF000000"/>
            <rFont val="Tahoma"/>
            <family val="2"/>
            <charset val="1"/>
          </rPr>
          <t>Zerar se for optante pelo simples</t>
        </r>
      </text>
    </comment>
    <comment ref="B48" authorId="0">
      <text>
        <r>
          <rPr>
            <sz val="10"/>
            <color rgb="FF000000"/>
            <rFont val="Arial"/>
            <family val="2"/>
            <charset val="1"/>
          </rPr>
          <t>Contribuição ao Serviço Nacional de Aprendizagem Industrial (SENAI) e ao Serviço Nacional de Aprendizagem Comercial (SENAC). As empresas optantes pelo Simples Nacional são isentas. Para as demais empresas com menos de 500 empregados a incidência é de 1% e para as empresas com mais de 500 empregados a incidência é de 1,2%.</t>
        </r>
      </text>
    </comment>
    <comment ref="G48" authorId="0">
      <text>
        <r>
          <rPr>
            <b/>
            <sz val="9"/>
            <color rgb="FF000000"/>
            <rFont val="Tahoma"/>
            <family val="2"/>
            <charset val="1"/>
          </rPr>
          <t>Usuário do Windo</t>
        </r>
        <r>
          <rPr>
            <sz val="9"/>
            <color rgb="FF000000"/>
            <rFont val="Tahoma"/>
            <family val="2"/>
            <charset val="1"/>
          </rPr>
          <t>Zerar se for optante pelo simples</t>
        </r>
      </text>
    </comment>
    <comment ref="B49" authorId="0">
      <text>
        <r>
          <rPr>
            <sz val="10"/>
            <color rgb="FF000000"/>
            <rFont val="Arial"/>
            <family val="2"/>
            <charset val="1"/>
          </rPr>
          <t>Contribuição ao Instituto Nacional de Colonização e Reforma Agrária. As empresas optantes pelo Simples Nacional são isentas e as demais empresas pagam um percentual de 0,2%.</t>
        </r>
      </text>
    </comment>
    <comment ref="G49" authorId="0">
      <text>
        <r>
          <rPr>
            <b/>
            <sz val="9"/>
            <color rgb="FF000000"/>
            <rFont val="Tahoma"/>
            <family val="2"/>
            <charset val="1"/>
          </rPr>
          <t>Usuário do Windows:</t>
        </r>
        <r>
          <rPr>
            <sz val="9"/>
            <color rgb="FF000000"/>
            <rFont val="Tahoma"/>
            <family val="2"/>
            <charset val="1"/>
          </rPr>
          <t>Zerar se for optante pelo simples</t>
        </r>
      </text>
    </comment>
    <comment ref="B50" authorId="0">
      <text>
        <r>
          <rPr>
            <sz val="10"/>
            <color rgb="FF000000"/>
            <rFont val="Arial"/>
            <family val="2"/>
            <charset val="1"/>
          </rPr>
          <t>Contribuição social destinada ao financiamento da educação básica nos termos da Constituição Federal à base de 2,5%. As empresas optantes pelo Simples Nacional são isentas.</t>
        </r>
      </text>
    </comment>
    <comment ref="G50" authorId="0">
      <text>
        <r>
          <rPr>
            <b/>
            <sz val="9"/>
            <color rgb="FF000000"/>
            <rFont val="Tahoma"/>
            <family val="2"/>
            <charset val="1"/>
          </rPr>
          <t>Usuário do Windows:</t>
        </r>
        <r>
          <rPr>
            <sz val="9"/>
            <color rgb="FF000000"/>
            <rFont val="Tahoma"/>
            <family val="2"/>
            <charset val="1"/>
          </rPr>
          <t>Zerar se for optante pelo simples</t>
        </r>
      </text>
    </comment>
    <comment ref="B51" authorId="0">
      <text>
        <r>
          <rPr>
            <sz val="10"/>
            <color rgb="FF000000"/>
            <rFont val="Arial"/>
            <family val="2"/>
            <charset val="1"/>
          </rPr>
          <t>O Fundo de Garantia do Tempo de Serviço (FGTS) constitui-se em um pecúlio disponibilizado quando da aposentadoria ou morte do trabalhador e representa uma garantia para a indenização do tempo de serviço nos casos de demissão imotivada. É garantido pela Constituição Federal à base de 8%.</t>
        </r>
      </text>
    </comment>
    <comment ref="B52" authorId="0">
      <text>
        <r>
          <rPr>
            <sz val="10"/>
            <color rgb="FF000000"/>
            <rFont val="Arial"/>
            <family val="2"/>
            <charset val="1"/>
          </rPr>
          <t>Contribuição destinada a custear benefícios concedidos em razão do grau de incidência de incapacidade laborativa decorrentes dos riscos ambientais do trabalho. Pode ser estabelecido em:
SEG.ACID.TRAB. FAP X RAT ( Art. 22,II, da Lei n° 8.212/91).Alíquotas do SAT em função do FAP(Decreto n° 6.042/07 e n° 6.957/09).Fap(Anexo da RESOLUÇÃO mps/cnps n° 1.316/10)=alíquota do FAPx perc. Do SAT
Esses Perecentuais devem ser conferidos pelo pregoeiro e equipe de apoio, com base na GFIP
1% quando o risco de acidentes do trabalho for considerado leve.
2% quando o risco de acidentes do trabalho for considerado médio.
3% quando o risco de acidentes do trabalho for considerado grave.</t>
        </r>
      </text>
    </comment>
    <comment ref="G52" authorId="0">
      <text>
        <r>
          <rPr>
            <b/>
            <sz val="9"/>
            <color rgb="FF000000"/>
            <rFont val="Tahoma"/>
            <family val="2"/>
            <charset val="1"/>
          </rPr>
          <t>Usuário do Windows:</t>
        </r>
        <r>
          <rPr>
            <sz val="9"/>
            <color rgb="FF000000"/>
            <rFont val="Tahoma"/>
            <family val="2"/>
            <charset val="1"/>
          </rPr>
          <t>JURISPRUDÊNCIA - TCU (Acórdão  2.554/2010 - Primeira Câmara) 
7. Com relação aos itens de custo não cotados ou cotados a menor pela empresa vencedora do certame (como o “Seguro de Acidente de Trabalho”, a “Assistência Social Familiar Sindical”, a “Assistência Social” e os benefícios indiretos concedidos pelas empresas aos empregados),</t>
        </r>
        <r>
          <rPr>
            <b/>
            <sz val="9"/>
            <color rgb="FF000000"/>
            <rFont val="Tahoma"/>
            <family val="2"/>
            <charset val="1"/>
          </rPr>
          <t>não chegam a invalidar a proposta da licitante, mas devem ser objeto de acompanhamento pelo CBPF,</t>
        </r>
        <r>
          <rPr>
            <sz val="9"/>
            <color rgb="FF000000"/>
            <rFont val="Tahoma"/>
            <family val="2"/>
            <charset val="1"/>
          </rPr>
          <t>com a verificação do cumprimento, pela contratada, de suas obrigações trabalhistas em conformidade com a legislação, de forma a resguardar a Administração de eventual responsabilização solidária</t>
        </r>
        <r>
          <rPr>
            <b/>
            <sz val="9"/>
            <color rgb="FF000000"/>
            <rFont val="Tahoma"/>
            <family val="2"/>
            <charset val="1"/>
          </rPr>
          <t>, não podendo essas obrigações importar em eventual acréscimo contratual, considerando que a empresa tem o dever de honrar sua proposta na licitação,</t>
        </r>
        <r>
          <rPr>
            <sz val="9"/>
            <color rgb="FF000000"/>
            <rFont val="Tahoma"/>
            <family val="2"/>
            <charset val="1"/>
          </rPr>
          <t>prestando os serviços contratados pelo preço acordado entre as partes</t>
        </r>
      </text>
    </comment>
    <comment ref="B53" authorId="0">
      <text>
        <r>
          <rPr>
            <sz val="10"/>
            <color rgb="FF000000"/>
            <rFont val="Arial"/>
            <family val="2"/>
            <charset val="1"/>
          </rPr>
          <t>Contribuição social repassada ao Serviço Brasileiro de Apoio à Pequena e Média Empresa (SEBRAE), destinado a custear os programas de apoio à pequena e média empresa à base de 0,6%. As empresas optantes pelo Simples Nacional são isentas.</t>
        </r>
      </text>
    </comment>
    <comment ref="G53" authorId="0">
      <text>
        <r>
          <rPr>
            <b/>
            <sz val="9"/>
            <color rgb="FF000000"/>
            <rFont val="Tahoma"/>
            <family val="2"/>
            <charset val="1"/>
          </rPr>
          <t>Usuário do Windows:</t>
        </r>
        <r>
          <rPr>
            <sz val="9"/>
            <color rgb="FF000000"/>
            <rFont val="Tahoma"/>
            <family val="2"/>
            <charset val="1"/>
          </rPr>
          <t>Zerar se for optante pelo simples</t>
        </r>
      </text>
    </comment>
    <comment ref="G60" authorId="0">
      <text>
        <r>
          <rPr>
            <sz val="10"/>
            <color rgb="FF000000"/>
            <rFont val="Arial"/>
            <family val="2"/>
            <charset val="1"/>
          </rPr>
          <t>Pode variar conforme CCT. Sempre verificar.</t>
        </r>
      </text>
    </comment>
    <comment ref="B74" authorId="0">
      <text>
        <r>
          <rPr>
            <b/>
            <sz val="9"/>
            <color rgb="FF000000"/>
            <rFont val="Tahoma"/>
            <family val="2"/>
            <charset val="1"/>
          </rPr>
          <t>Usuário do Windows:</t>
        </r>
        <r>
          <rPr>
            <sz val="9"/>
            <color rgb="FF000000"/>
            <rFont val="Tahoma"/>
            <family val="2"/>
            <charset val="1"/>
          </rPr>
          <t>FUNDAMENTAÇÃO LEGAL - Constituição Federal de 1988 (Art. 7°, inciso XXI) - CLT (Art. 477, art. 487 a 491) - Observação (1) - Aviso Prévio Indenizado – Estudos CNJ – Resolução 98/2009  Aviso Prévio indenizado - 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término do contrato de trabalho. Cálculo ((1/12)x 0,05) x 100 =0,42%.</t>
        </r>
      </text>
    </comment>
    <comment ref="B75" authorId="0">
      <text>
        <r>
          <rPr>
            <b/>
            <sz val="9"/>
            <color rgb="FF000000"/>
            <rFont val="Tahoma"/>
            <family val="2"/>
            <charset val="1"/>
          </rPr>
          <t>Usuário do Windows:</t>
        </r>
        <r>
          <rPr>
            <sz val="9"/>
            <color rgb="FF000000"/>
            <rFont val="Tahoma"/>
            <family val="2"/>
            <charset val="1"/>
          </rPr>
          <t>aplicar o percentual do FGTS sobre o Aviso Prévio Indenizado.</t>
        </r>
        <r>
          <rPr>
            <b/>
            <sz val="9"/>
            <color rgb="FF000000"/>
            <rFont val="Tahoma"/>
            <family val="2"/>
            <charset val="1"/>
          </rPr>
          <t>Ex 8% X 0,42% = 0,03%</t>
        </r>
      </text>
    </comment>
    <comment ref="B76" authorId="0">
      <text>
        <r>
          <rPr>
            <b/>
            <sz val="9"/>
            <color rgb="FF000000"/>
            <rFont val="Tahoma"/>
            <family val="2"/>
            <charset val="1"/>
          </rPr>
          <t>Usuário do Windows:</t>
        </r>
        <r>
          <rPr>
            <sz val="9"/>
            <color rgb="FF000000"/>
            <rFont val="Tahoma"/>
            <family val="2"/>
            <charset val="1"/>
          </rPr>
          <t>FUNDAMENTAÇÃO LEGAL - Jurisprudência - TCU (Acórdão 2.217/2010 – Plenário - vide apêndice pág. 52)
49 Multa do FGTS do aviso prévio indenizado: valor da multa do FGTS indenizado (40%) + contribuição social sobre o FGTS (10%), que incide sobre a alíquota do FGTS (8%) aplicado sobre o custo de referência do aviso prévio indenizado.
 FUNDAMENTAÇÃO LEGAL - Lei nº 8.036, de 11 de maio de 1990 (Art. 18 § 1º) com redação dada pela Lei nº 9.491, de 9 de setembro de 1997. - Lei Complementar nº 110, de 29 de junho de 2001. (Art. 1°) - Observação (2) - Aviso Prévio Indenizado – Estudos CNJ – Resolução 98/2009 Multa FGTS - Rescisão sem Justa Causa: A Lei Complementar nº 110, de 29 de junho de 2001, determina multa de 50%, da soma dos depósitos do FGTS, no caso de rescisão sem justa causa. Considerando que 10% dos empregados pedem contas, essa penalidade recai sobre os 90% remanescentes. Considerando o pagamento da multa para os valores depositados relativos a salários, férias e 13º salário o cálculo dessa provisão corresponde a: 0,08 x 0,5 x 0,9 x (1 + 5/56 + 5/56 + 1/3 * 5/56) = 4,35%.</t>
        </r>
      </text>
    </comment>
    <comment ref="G76" authorId="0">
      <text>
        <r>
          <rPr>
            <b/>
            <sz val="10"/>
            <color rgb="FF000000"/>
            <rFont val="Arial"/>
            <family val="2"/>
            <charset val="1"/>
          </rPr>
          <t>1°- Não havendo conta vinculada o valor de referência estabelecido no Manual de preenchimento de planilhas do MPOG é de 4,35% APT+API.
FUNDAMENTAÇÃO LEGAL -</t>
        </r>
        <r>
          <rPr>
            <sz val="10"/>
            <color rgb="FF000000"/>
            <rFont val="Arial"/>
            <family val="2"/>
            <charset val="1"/>
          </rPr>
          <t>Lei nº 8.036, de 11 de maio de 1990 (Art. 18 § 1º) com redação dada pela Lei nº 9.491, de 9 de setembro de 1997. - Lei Complementar nº 110, de 29 de junho de 2001. (Art. 1°) -Aviso Prévio Indenizado – Estudos CNJ – Resolução 98/2009 Multa FGTS - Rescisão sem Justa Causa: A Lei Complementar nº 110, de 29 de junho de 2001, determina multa de 50%, da soma dos depósitos do FGTS, no caso de rescisão sem justa causa. Considerando que 10% dos empregados pedem contas, essa penalidade recai sobre os 90% remanescentes.Considerando o pagamento da multa para os valores depositados relativos a salários, férias e 13º salário o cálculo dessa provisão corresponde a: 0,08 x 0,5 x 0,9 x (1 + 5/56 + 5/56 + 1/3 * 5/56) = 4,35%.Onde 0,08 Corresponde ao % dop FGTS;  0,5 é os 50% da multa FGTS ; 0,9 corresponde é o percentual de funcionários que são demitidos sem justa causa;( 1 representa uma remuneração; 5/56 representa 5 meses de férias que um funcionário dentro de um periodo de 56 meses este raciocionio vale para férias e 13° e por fim 1/3 de 5/56 que é um terço constitucional de féria).
---------------------------------------------------------------------------------------------------------------------
2° Quando for exigido conta vinculada :Conforme orientações do MPOG, Quando houver conta vinculada, tanto para o Aviso Prévio Trabalhado quanto para o Aviso Prévio Indenizado, a porcentagem que irá incidir é de 5% soma dos dois avisos (API+APT) sobre o custo de referência.
E também foi orientado que está correto o raciocínio de ponderar os 5% entre o API e o APT, não precisando ser exatamente 50% pra cada. Isso dependerá das características intrínsecas de cada empresa e tipo de serviço, podendo ser definido pelo fornecedor desde que os 2 itens fechem em 5% no caso de ter conta vinculada.</t>
        </r>
      </text>
    </comment>
    <comment ref="B77" authorId="0">
      <text>
        <r>
          <rPr>
            <b/>
            <sz val="9"/>
            <color rgb="FF000000"/>
            <rFont val="Tahoma"/>
            <family val="2"/>
            <charset val="1"/>
          </rPr>
          <t>Usuário do Windows:</t>
        </r>
        <r>
          <rPr>
            <sz val="9"/>
            <color rgb="FF000000"/>
            <rFont val="Tahoma"/>
            <family val="2"/>
            <charset val="1"/>
          </rPr>
          <t>[(1 salário integral / 30 dias) x 7 dias] / 12 meses = 1,94% é o índice.Acórdão 1186/2017 Plenário (Auditoria, Relator Ministro-Substituto Augusto Sherman)
Licitação. Orçamento estimativo. Encargos sociais. Aviso prévio. Terceirização. Limite máximo. Prorrogação de contrato.
Nas licitações para contratação de mão de obra terceirizada, a Administração deve estabelecer na minuta do contrato que a parcela mensal a título de aviso prévio trabalhado será no percentualmáximo de 1,94% no primeiro ano, e, em caso de prorrogação do contrato, o percentual máximo dessa parcela será de0,194% a cada ano de prorrogação, a ser incluído por ocasião da formulação do aditivo da prorrogação do contrato, conforme a Lei 12.506/2011.</t>
        </r>
      </text>
    </comment>
    <comment ref="G83" authorId="0">
      <text>
        <r>
          <rPr>
            <sz val="10"/>
            <color rgb="FF000000"/>
            <rFont val="Arial"/>
            <family val="2"/>
            <charset val="1"/>
          </rPr>
          <t>Opnião Edilson:
A IN 05/2017, trouxe uma novidade com relação as férias, antes tinhamos calculado separado neste campo o %  das férias e em outro campo o % do (1/3) terço constitucional que no cálculo do CNJ seria 12,10%.
Mas  agora  a IN 05/2017, trouxe no submódulo 2.1 as férias e o 1/3 juntos, e repetiu o item  férias mais uma vez no Módulo 4 - como Custo de Reposição do Profissional Ausente.
Tenho visto alguns colocarem novamente o percentual de 12,10% ou 11,11%, o que no meu ponto está redondamente errado.
 O Texto da IN 05/2017 trouxe o seguinte texto:
Nota: As alíneas “A” a “F” referem-se somente ao custo que será pago ao repositor pelos dias
trabalhados</t>
        </r>
        <r>
          <rPr>
            <b/>
            <u/>
            <sz val="10"/>
            <color rgb="FF000000"/>
            <rFont val="Arial"/>
            <family val="2"/>
            <charset val="1"/>
          </rPr>
          <t>quando da necessidade de substituir</t>
        </r>
        <r>
          <rPr>
            <sz val="10"/>
            <color rgb="FF000000"/>
            <rFont val="Arial"/>
            <family val="2"/>
            <charset val="1"/>
          </rPr>
          <t>a mão de obra alocada na prestação do serviço.
Com base neste texto, até que saia o manual de preenchimento da planilha existem 2 opções:
1° Deixar em Branco: já que é novo e o valor é irrisório.
2° Calcular o percentual das férias+1 /3  + 13° salário e dividir por 12 e os seus reflexos que já seram automaticamente cáculados na letra F ( incidencia submodulo 2.1).</t>
        </r>
      </text>
    </comment>
    <comment ref="F84" authorId="0">
      <text>
        <r>
          <rPr>
            <b/>
            <sz val="9"/>
            <color rgb="FF000000"/>
            <rFont val="Tahoma"/>
            <family val="2"/>
            <charset val="1"/>
          </rPr>
          <t>Usuário do Windows:
CUSTO NÃO RENOVÁVEL :</t>
        </r>
        <r>
          <rPr>
            <sz val="9"/>
            <color rgb="FF000000"/>
            <rFont val="Tahoma"/>
            <family val="2"/>
            <charset val="1"/>
          </rPr>
          <t>VALE LEMBRAR QUE POR OCASIÃO DAS PRORROGAÇÕES DEVE SE VERIFICAR SE ESSE VALOR PROVISIONADO FOI UTILIZADO, SE NÃO FOR OU FOR UTILIZADO EM PARTES, DEVE SER RETIRADO OU COLOCADO PROPORCIONALMENTE O % UTILIZADO.</t>
        </r>
        <r>
          <rPr>
            <b/>
            <sz val="9"/>
            <color rgb="FF000000"/>
            <rFont val="Tahoma"/>
            <family val="2"/>
            <charset val="1"/>
          </rPr>
          <t>(O RACIOCÍNIO VALE PARA TODOS OS ITENS DESTA TABELA DO SUBMÓDULO 4.1)</t>
        </r>
      </text>
    </comment>
    <comment ref="G84" authorId="0">
      <text>
        <r>
          <rPr>
            <sz val="10"/>
            <color rgb="FF000000"/>
            <rFont val="Arial"/>
            <family val="2"/>
            <charset val="1"/>
          </rPr>
          <t>Ausências previstas na legislação vigente que é composta por um conjunto de casos em que o funcionário pode se ausentar sem perda da remuneração.
Considerando que o empregado tenha apenas uma falta legal durante o período de 1 ano, temos:
Cálculo:
1/360 = 0,002777 = 0,27%
Esse valor pode variar conforme dados estatísticos da empresa.</t>
        </r>
      </text>
    </comment>
    <comment ref="G85" authorId="0">
      <text>
        <r>
          <rPr>
            <sz val="10"/>
            <color rgb="FF000000"/>
            <rFont val="Arial"/>
            <family val="2"/>
            <charset val="1"/>
          </rPr>
          <t>Concede ao empregado o direito de ausentar-se do serviço por cinco dias quando do nascimento de filho. De acordo com o IBGE, nascem filhos de 1,5% dos trabalhadores no período de um ano. Dessa forma a provisão para este item corresponde a:
((5/30)/12) x 0,015 x 100 = 0,02%
Esse valor pode variar conforme dados estatísticos da empresa.</t>
        </r>
      </text>
    </comment>
    <comment ref="F86" authorId="0">
      <text>
        <r>
          <rPr>
            <b/>
            <sz val="9"/>
            <color indexed="81"/>
            <rFont val="Tahoma"/>
            <family val="2"/>
          </rPr>
          <t>UFERSA:</t>
        </r>
        <r>
          <rPr>
            <sz val="9"/>
            <color indexed="81"/>
            <rFont val="Tahoma"/>
            <family val="2"/>
          </rPr>
          <t xml:space="preserve">
O auxílio-acidente é o afastamento por mais de 15 dias do trabalho em
virtude de acidentes no exercício da atividade profissional, ou doenças adquiridas ou desencadeadas pelo exercício do trabalho ou das condições em que este é realizado e com ele se relacione diretamente. O custo estimado nessa rubrica corresponde apenas aos primeiros 15 dias, o qual é obrigação da empresa a cobertura do mesmo, sendo após 15 dias, o benefício será coberto pela Previdência Social. O percentual de 0,06% é igual ao número de dias cobertos pela empresa em um mês dentro de um ano multiplicado por 1,33%  conforme  Anuário Estatístico de Acidentes do Trabalho-2016(AEAT/INSS2016)(http://sa.previdencia.gov.br/site/2018/04/AEAT-2016.pdf). 
</t>
        </r>
      </text>
    </comment>
    <comment ref="G86" authorId="0">
      <text>
        <r>
          <rPr>
            <sz val="10"/>
            <color rgb="FF000000"/>
            <rFont val="Arial"/>
            <family val="2"/>
            <charset val="1"/>
          </rPr>
          <t>Valor do custo referente aos 15 primeiros dias em que o empregado encontra-se afastado por acidente de trabalho e a empresa contratada tem o dever de remunerá-lo. Após esse período o ônus passa a ser do INSS. De acordo com os números mais recentes apresentados pelo Ministério da Previdência e Assistência Social, baseados em informações prestadas pelos empregadores, por meio de GFIP, 0,78% dos empregados se acidentam no ano. Assim, a provisão corresponde a:
((15/30)/12) x 0,0078 x 100 = 0,03%
Esse valor pode variar conforme dados estatísticos da empresa.</t>
        </r>
      </text>
    </comment>
    <comment ref="B88" authorId="0">
      <text>
        <r>
          <rPr>
            <b/>
            <sz val="9"/>
            <color rgb="FF000000"/>
            <rFont val="Tahoma"/>
            <family val="2"/>
            <charset val="1"/>
          </rPr>
          <t>Usuário do Windows:</t>
        </r>
        <r>
          <rPr>
            <sz val="9"/>
            <color rgb="FF000000"/>
            <rFont val="Tahoma"/>
            <family val="2"/>
            <charset val="1"/>
          </rPr>
          <t>Esse item (Ausência por doença), foi exlcuido do modelo de tabela da IN05/2017, mas não foi dito o motivo, nem mesmo se deveria ser computado por exemplo com o item Ausências Legais,</t>
        </r>
        <r>
          <rPr>
            <b/>
            <sz val="9"/>
            <color rgb="FF000000"/>
            <rFont val="Tahoma"/>
            <family val="2"/>
            <charset val="1"/>
          </rPr>
          <t>enquanto não sai o manual de prenchimento de planilha</t>
        </r>
        <r>
          <rPr>
            <sz val="9"/>
            <color rgb="FF000000"/>
            <rFont val="Tahoma"/>
            <family val="2"/>
            <charset val="1"/>
          </rPr>
          <t>prometido pelo Ministério do Planejamento acho prudente continuar usando o percentual por se tratar do mais impactante na planilha de custos.</t>
        </r>
      </text>
    </comment>
    <comment ref="G88" authorId="0">
      <text>
        <r>
          <rPr>
            <sz val="10"/>
            <color rgb="FF000000"/>
            <rFont val="Arial"/>
            <family val="2"/>
            <charset val="1"/>
          </rPr>
          <t>Esta parcela refere-se aos dias em que o empregado fica doente e a contratada deve providenciar sua substituição. Entendemos que deva ser adotado 5,96 dias, conforme consta no memorial de cálculo encaminhado pelo MP, devendo-se converter esses dias em mês e depois dividi-lo pelo número de meses no ano. (Acórdão 1753/2008 – Plenário TCU)
Cálculo:
(5,96/30)/12 x 100 = 1,66%;
Esse valor pode variar conforme dados estatísticos da empresa.</t>
        </r>
      </text>
    </comment>
    <comment ref="B94" authorId="0">
      <text>
        <r>
          <rPr>
            <b/>
            <sz val="9"/>
            <color rgb="FF000000"/>
            <rFont val="Tahoma"/>
            <family val="2"/>
            <charset val="1"/>
          </rPr>
          <t>Usuário do Windows:</t>
        </r>
        <r>
          <rPr>
            <sz val="9"/>
            <color rgb="FF000000"/>
            <rFont val="Tahoma"/>
            <family val="2"/>
            <charset val="1"/>
          </rPr>
          <t>Texto extraído da IN 05/2017 
Nota: Quando houver a necessidade de reposição de um empregado durante sua ausência nos casos de intervalo para repouso ou alimentação deve-se contemplar o Submódulo 4.2.</t>
        </r>
      </text>
    </comment>
    <comment ref="B108" authorId="0">
      <text>
        <r>
          <rPr>
            <b/>
            <sz val="9"/>
            <color rgb="FF000000"/>
            <rFont val="Tahoma"/>
            <family val="2"/>
            <charset val="1"/>
          </rPr>
          <t>Usuário do Windows:</t>
        </r>
        <r>
          <rPr>
            <sz val="9"/>
            <color rgb="FF000000"/>
            <rFont val="Tahoma"/>
            <family val="2"/>
            <charset val="1"/>
          </rPr>
          <t> Definição
Correspondem aos dispêndios relativos aos custos indiretos, tributos e lucros. Na metodologia de cálculo dos valores limites é denominado CITL.</t>
        </r>
      </text>
    </comment>
    <comment ref="F109" authorId="0">
      <text>
        <r>
          <rPr>
            <b/>
            <sz val="9"/>
            <color rgb="FF000000"/>
            <rFont val="Tahoma"/>
            <family val="2"/>
            <charset val="1"/>
          </rPr>
          <t>Usuário do Windows:
Texto extraído do Manual de preenchimento de Planilha MPOG 2011</t>
        </r>
        <r>
          <rPr>
            <sz val="9"/>
            <color rgb="FF000000"/>
            <rFont val="Tahoma"/>
            <family val="2"/>
            <charset val="1"/>
          </rPr>
          <t>Nota Explicativa: 
Custos indiretos: são os gastos da contratada com sua estrutura administrativa, organizacional e gerenciamento de seus contratos, tais como as despesas relativas a: a) funcionamento e manutenção da sede, tais como aluguel, água, luz, telefone, o Imposto Predial Territorial Urbano – IPTU, dentre outros; b) pessoal administrativo; c) material e equipamentos de escritório; d) supervisão de serviços;  e) seguros.
 -</t>
        </r>
        <r>
          <rPr>
            <b/>
            <sz val="9"/>
            <color rgb="FF000000"/>
            <rFont val="Tahoma"/>
            <family val="2"/>
            <charset val="1"/>
          </rPr>
          <t>Observação (1) -  No cálculo dos valores limites para os serviços de vigilância e limpeza foram estabelecidos os percentuais de 6% e 3% respectivamente</t>
        </r>
        <r>
          <rPr>
            <sz val="9"/>
            <color rgb="FF000000"/>
            <rFont val="Tahoma"/>
            <family val="2"/>
            <charset val="1"/>
          </rPr>
          <t>. Os custos indiretos são calculados mediante incidência daqueles percentuais sobre o somatório da remuneração, benefícios mensais e diários, insumos diversos, encargos sociais e trabalhistas.</t>
        </r>
        <r>
          <rPr>
            <b/>
            <sz val="12"/>
            <color rgb="FFFF0000"/>
            <rFont val="Tahoma"/>
            <family val="2"/>
            <charset val="1"/>
          </rPr>
          <t>Na verdade o esse texto traz arredondamentos, sendo que a Margem de lucro definida em estudo na Caderno de Limpeza do MPOG 2014 é</t>
        </r>
        <r>
          <rPr>
            <b/>
            <sz val="12"/>
            <color rgb="FF000000"/>
            <rFont val="Tahoma"/>
            <family val="2"/>
            <charset val="1"/>
          </rPr>
          <t>de 6,79% para Lucro e 3% para Custos Indiretos</t>
        </r>
        <r>
          <rPr>
            <b/>
            <sz val="12"/>
            <color rgb="FFFF0000"/>
            <rFont val="Tahoma"/>
            <family val="2"/>
            <charset val="1"/>
          </rPr>
          <t>, para os serviços de Vigilância e limpeza</t>
        </r>
        <r>
          <rPr>
            <sz val="9"/>
            <color rgb="FF000000"/>
            <rFont val="Tahoma"/>
            <family val="2"/>
            <charset val="1"/>
          </rPr>
          <t>________________________________________________________________________________________________________________</t>
        </r>
        <r>
          <rPr>
            <b/>
            <sz val="9"/>
            <color rgb="FF000000"/>
            <rFont val="Tahoma"/>
            <family val="2"/>
            <charset val="1"/>
          </rPr>
          <t>IN nº 05/17 – anexo vii-a</t>
        </r>
        <r>
          <rPr>
            <sz val="9"/>
            <color rgb="FF000000"/>
            <rFont val="Tahoma"/>
            <family val="2"/>
            <charset val="1"/>
          </rPr>
          <t>9.2  Consideram-se preços manifestamente inexeqüíveis aqueles que, comprovadamente, forem insuficientes para a cobertura dos custos decorrentes da contratação pretendida.
9.3 A inexeqüibilidade dos valores referentes a itens isolados da planilha de custos  e formação de preços não caracteriza motivo suficiente para a desclassificação da proposta, , desde que não contrariem exigências legais.
9.4 Se houver indícios de inexequibilidade da proposta de preço, ou em caso da necessidade de esclarecimentos complementares, poderá ser efetuada diligência, na forma do § 3° do art. 43 da Lei n° 8.666, de 1993, para efeito de comprovação de sua exequibilidade, podendo ser adotado, dentre outros, os seguintes procedimentos:
questionamentos junto à proponente para a apresentação de justificativas e comprovações em relação aos custos com indícios de inexequibilidade;verificação de Acordos, Convenções ou Dissídios Coletivos de Trabalho;levantamento de informações junto ao Ministério do Trabalho; consultas a entidades ou conselhos de classe, sindicatos ou similares; pesquisas em órgãos públicos ou empresas privadas verificação de outros contratos que o proponente mantenha com a Administração ou com a iniciativa privada;pesquisa de preço com fornecedores dos insumos utilizados, tais como: atacadistas, lojas de suprimentos,supermercados e fabricantes;verificação de notas fiscais dos produtos adquiridos pelo proponente;
levantamento de indicadores salariais ou trabalhistas publicados por órgãos de pesquisa;estudos setoriais;consultas às Fazendas Federal, Distrital, Estadual ou Municipal; eanálise de soluções técnicas escolhidas e/ou condições excepcionalmente favoráveis que o proponente disponha para a prestação dos serviços.
9.5 Qualquer interessado poderá requerer que se realizem diligências para aferir a exequibilidade e a legalidade das propostas, devendo apresentar as provas ou os indícios que fundamentam o pedido;
9.6 Quando o licitante apresentar</t>
        </r>
        <r>
          <rPr>
            <b/>
            <sz val="9"/>
            <color rgb="FF000000"/>
            <rFont val="Tahoma"/>
            <family val="2"/>
            <charset val="1"/>
          </rPr>
          <t>preço final inferior a 30% da média dos preços ofertados</t>
        </r>
        <r>
          <rPr>
            <sz val="9"/>
            <color rgb="FF000000"/>
            <rFont val="Tahoma"/>
            <family val="2"/>
            <charset val="1"/>
          </rPr>
          <t>para o mesmo item, e a inexequibilidade da proposta não for flagrante e evidente pela análise da planilha de custos e formação de preços,</t>
        </r>
        <r>
          <rPr>
            <b/>
            <sz val="9"/>
            <color rgb="FF000000"/>
            <rFont val="Tahoma"/>
            <family val="2"/>
            <charset val="1"/>
          </rPr>
          <t>não sendo possível a sua imediata desclassificaçã</t>
        </r>
        <r>
          <rPr>
            <sz val="9"/>
            <color rgb="FF000000"/>
            <rFont val="Tahoma"/>
            <family val="2"/>
            <charset val="1"/>
          </rPr>
          <t>o, será obrigatória a realização de diligências para aferir a legalidade e exequibilidade da proposta.
________________________________________________________________________________________________________________</t>
        </r>
        <r>
          <rPr>
            <b/>
            <sz val="9"/>
            <color rgb="FF000000"/>
            <rFont val="Tahoma"/>
            <family val="2"/>
            <charset val="1"/>
          </rPr>
          <t>TCU –Acórdão nº 1.214/2013 – Plenário
III.H percentuais mínimos aceitáveis para encargos sociais e ldi</t>
        </r>
        <r>
          <rPr>
            <sz val="9"/>
            <color rgb="FF000000"/>
            <rFont val="Tahoma"/>
            <family val="2"/>
            <charset val="1"/>
          </rPr>
          <t>219. Do mesmo modo, lucro, como se sabe, pode ser maximizado com uma boa gestão de mão de obra, mas não se deve abrir mão de um mínimo aceitável, pois não é crível que prestadores de serviços estejam dispostos a trabalharem de graça para o erário. Não fixar lucro mínimo é um incentivo para que as empresas avancem sobre outras verbas, como direitos trabalhistas, tributos e contribuições compulsórias, como tem sido praxe.
220. Também as despesas administrativas, devem ser objeto de análise pela administração, pois não é razoável que a empresa não possua esse gasto. No entanto, é aceitável que existam justificativas para reduzí-lo ou eliminá-lo, por exemplo, que a empresa administre muitos contratos, ou que se trate de uma empresa familiar, mas para isso a empresa necessite apresenta-las.
_______________________________________________________________________________________________________________</t>
        </r>
        <r>
          <rPr>
            <b/>
            <sz val="9"/>
            <color rgb="FF000000"/>
            <rFont val="Tahoma"/>
            <family val="2"/>
            <charset val="1"/>
          </rPr>
          <t>Mas em outro acordão o TCU definiu que  os % são livres para serem definidos por cada fornecedor:
(Acórdão 325/2007-TCU-Plenário).Não há vedação legalà atuação, por parte de empresas contratadas pela Administração Pública Federal,sem margem de lucro ou com margem de lucro mínima, pois tal fato depende da estratégia comercial da empresa e não conduz, necessariamente, à inexecução da proposta.
___________________________________________________________________________________________________Outro Acórdão que parece trazer certa solução, estabelece que os percentuais mínimos devem ser estabelecidos em Edital.A desclassificação de proposta por inexequibilidade deve ser objetivamente demonstrada, a partir de critérios previamente publicados (Acórdãos 2.528/2012 e 1.092/2013, ambos do Plenário).
Vale destacar que a questão foi abordada no Acórdão nº 1.214/13-Plenário, em sede de representação formulada a partir de trabalho realizado por grupo de estudos, constituído com o objetivo de apresentar proposições de melhorias nos procedimentos relativos à terceirização de serviços continuados na Administração Pública Federal. Um dos problemas apontados naquela ocasião foi justamente a dificuldade enfrentada pela Administração no exame de exequibilidade das propostas, em razão da ausência de parâmetros seguros de análise.
De acordo coma conclusão do grupo, “(…)os editais deveriam consignar expressamente as condições mínimas para que as propostas sejam consideradas exequíveis, proibindo propostas com lucro e despesas administrativas iguais a zero, entre outros, em razão de esse percentual englobar os impostos e contribuições não repercutíveis (IR, CSLL). Registre-se que o grupo não determinou quais seriam as condições mínimas ideais, de modo que deverá ser realizado estudo para determiná-las e, assim, possibilitar a implementação dessa proposta.”________________________________________________________________________________________________________________</t>
        </r>
      </text>
    </comment>
    <comment ref="F110" authorId="0">
      <text>
        <r>
          <rPr>
            <sz val="10"/>
            <color rgb="FF000000"/>
            <rFont val="Arial"/>
            <family val="2"/>
            <charset val="1"/>
          </rPr>
          <t>(Acórdão 325/2007-TCU-Plenário).</t>
        </r>
        <r>
          <rPr>
            <b/>
            <sz val="10"/>
            <color rgb="FF000000"/>
            <rFont val="Arial"/>
            <family val="2"/>
            <charset val="1"/>
          </rPr>
          <t>Não há vedação legal</t>
        </r>
        <r>
          <rPr>
            <sz val="10"/>
            <color rgb="FF000000"/>
            <rFont val="Arial"/>
            <family val="2"/>
            <charset val="1"/>
          </rPr>
          <t>à atuação, por parte de empresas contratadas pela Administração Pública Federal,</t>
        </r>
        <r>
          <rPr>
            <b/>
            <sz val="10"/>
            <color rgb="FF000000"/>
            <rFont val="Arial"/>
            <family val="2"/>
            <charset val="1"/>
          </rPr>
          <t>sem margem de lucro ou com margem de lucro mínima</t>
        </r>
        <r>
          <rPr>
            <sz val="10"/>
            <color rgb="FF000000"/>
            <rFont val="Arial"/>
            <family val="2"/>
            <charset val="1"/>
          </rPr>
          <t>, pois tal fato depende da estratégia comercial da empresa e não conduz, necessariamente, à inexecução da proposta
2. A desclassificação de proposta por inexequibilidade deve ser objetivamente demonstrada, a partir de critérios previamente publicados (Acórdãos 2.528/2012 e 1.092/2013, ambos do Plenário)
------------------------------------------------------------------------------------------------------------------------------------------
Mas em outro acórdão o TCU deliberou o seguinte:
Vale destacar que a questão foi abordada no Acórdão nº 1.214/13-Plenário, em sede de representação formulada a partir de trabalho realizado por grupo de estudos, constituído com o objetivo de apresentar proposições de melhorias nos procedimentos relativos à terceirização de serviços continuados na Administração Pública Federal. Um dos problemas apontados naquela ocasião foi justamente a dificuldade enfrentada pela Administração no exame de exequibilidade das propostas, em razão da ausência de parâmetros seguros de análise.
De acordo coma conclusão do grupo, “(…)</t>
        </r>
        <r>
          <rPr>
            <b/>
            <sz val="10"/>
            <color rgb="FF000000"/>
            <rFont val="Arial"/>
            <family val="2"/>
            <charset val="1"/>
          </rPr>
          <t>os editais deveriam consignar expressamente as condições mínimas para que as propostas sejam consideradas exequíveis, proibindo propostas com lucro e despesas administrativas iguais a zero</t>
        </r>
        <r>
          <rPr>
            <sz val="10"/>
            <color rgb="FF000000"/>
            <rFont val="Arial"/>
            <family val="2"/>
            <charset val="1"/>
          </rPr>
          <t>, entre outros, em razão de esse percentual englobar os impostos e contribuições não repercutíveis (IR, CSLL). Registre-se que o grupo não determinou quais seriam as condições mínimas ideais, de modo que deverá ser realizado estudo para determiná-las e, assim, possibilitar a implementação dessa proposta.”
------------------------------------------------------------------------------------------------------------------------------------------</t>
        </r>
        <r>
          <rPr>
            <b/>
            <sz val="10"/>
            <color rgb="FFFF0000"/>
            <rFont val="Arial"/>
            <family val="2"/>
            <charset val="1"/>
          </rPr>
          <t>Conclusão:
Melhor solução, estabelecer nos Editais com base em estudos percentuais minímos de lucros e custos indiretos</t>
        </r>
      </text>
    </comment>
    <comment ref="G113" authorId="0">
      <text>
        <r>
          <rPr>
            <sz val="10"/>
            <color rgb="FF000000"/>
            <rFont val="Arial"/>
            <family val="2"/>
            <charset val="1"/>
          </rPr>
          <t>Empresas Lucro Presumido:
PIS: 0,65% / COFINS: 3,00%
Empresas Lucro Real:
PIS: 1,65% / COFINS: 7,60%
Para as empresas optantes pelo Simples Nacional, a tributação varia conforme o faturamento mensal.
Soma-se os módulo 1,2,3,4,5, bem como os Custos Indiretos e o Lucro. Em seguida divide-se pelo Fator de Divisão, conforme a tributação aplicada (presumido,real,SIMPLES). Dessa forma, encontra-se o faturamento o qual incidirá a alíquota do PIS (PRESUMIDO).</t>
        </r>
      </text>
    </comment>
    <comment ref="G114" authorId="0">
      <text>
        <r>
          <rPr>
            <sz val="10"/>
            <color rgb="FF000000"/>
            <rFont val="Arial"/>
            <family val="2"/>
            <charset val="1"/>
          </rPr>
          <t>Empresas Lucro Presumido:
PIS: 0,65% / COFINS: 3,00%
Empresas Lucro Real:
PIS: 1,65% / COFINS: 7,60%
Para as empresas optantes pelo Simples Nacional, a tributação varia conforme o faturamento mensal.
Soma-se os módulo 1,2,3,4,5, bem como os Custos Indiretos e o Lucro. Em seguida divide-se pelo Fator de Divisão, conforme a tributação aplicada (presumido,real,SIMPLES). Dessa forma, encontra-se o faturamento o qual incidirá a alíquota do COFINS (PRESUMIDO).</t>
        </r>
      </text>
    </comment>
    <comment ref="G116" authorId="0">
      <text>
        <r>
          <rPr>
            <sz val="10"/>
            <color rgb="FF000000"/>
            <rFont val="Arial"/>
            <family val="2"/>
            <charset val="1"/>
          </rPr>
          <t>SANTOS DUMONT 3% (PODE VARIAR CONFORME MUNICÍPIO)
ALÍQUOTAS  SIMPLES, CONFORME TABELA A SEGUIR:
Antigo Anexo III do Simples Nacional (alterada em 2018)
Receita Bruta em 12 meses (em R$)	Alíquota Total	IRPJ	CSLL	COFINS	PIS	CPP	ISS
De R$ 0,00 a R$ 180.000,00            	6,00%	0,00%	0,00%	0,00%	0,00%	4,00%	2,00%
De R$ 180.000,01 a R$ 360.000,00 	8,21%	0,00%	0,00%	1,42%	0,00%	4,00%	2,79%
De R$ 360.000,01 a R$ 540.000,00 	10,26%	0,48%	0,43%	1,43%	0,35%	4,07%	3,50%
De R$ 540.000,01 a R$ 720.000,00 	11,31%	0,53%	0,53%	1,56%	0,38%	4,47%	3,84%
De R$ 720.000,01 a R$ 900.000,00 	11,40%	0,53%	0,52%	1,58%	0,38%	4,52%	3,87%
De R$ 900.000,01 a R$ 1.080.000,00 	12,42%	0,57%	0,57%	1,73%	0,40%	4,92%	4,23%
De R$ 1.080.000,01 a R$ 1.260.000,00 	12,54%	0,59%	0,56%	1,74%	0,42%	4,97%	4,26%
De R$ 1.260.000,01 a R$ 1.440.000,00 	12,68%	0,59%	0,57%	1,76%	0,42%	5,03%	4,31%
De R$ 1.440.000,01 a R$ 1.620.000,00 	13,55%	0,63%	0,61%	1,88%	0,45%	5,37%	4,61%
De R$ 1.620.000,01 a R$ 1.800.000,00 	13,68%	0,63%	0,64%	1,89%	0,45%	5,42%	4,65%
De R$ 1.800.000,01 a R$ 1.980.000,00 	14,93%	0,69%	0,69%	2,07%	0,50%	5,98%	5,00%
De R$ 1.980.000,01 a R$ 2.160.000,00 	15,06%	0,69%	0,69%	2,09%	0,50%	6,09%	5,00%
De R$ 2.160.000,01 a R$ 2.340.000,00 	15,20%	0,71%	0,70%	2,10%	0,50%	6,19%	5,00%
De R$ 2.340.000,01 a R$ 2.520.000,00 	15,35%	0,71%	0,70%	2,13%	0,51%	6,30%	5,00%
De R$ 2.520.000,01 a R$ 2.700.000,00 	15,48%	0,72%	0,70%	2,15%	0,51%	6,40%	5,00%
De R$ 2.700.000,01 a R$ 2.880.000,00 	16,85%	0,78%	0,76%	2,34%	0,56%	7,41%	5,00%
De R$ 2.880.000,01 a R$ 3.060.000,00 	16,98%	0,78%	0,78%	2,36%	0,56%	7,50%	5,00%
De R$ 3.060.000,01 a R$ 3.240.000,00 	17,13%	0,80%	0,79%	2,37%	0,57%	7,60%	5,00%
De R$ 3.240.000,01 a R$ 3.420.000,00 	17,27%	0,80%	0,79%	2,40%	0,57%	7,71%	5,00%
De R$ 3.420.000,01 a R$ 3.600.000,00 	17,42%	0,81%	0,79%	2,42%	0,57%	7,83%	5,00%</t>
        </r>
        <r>
          <rPr>
            <b/>
            <sz val="10"/>
            <color rgb="FF000000"/>
            <rFont val="Arial"/>
            <family val="2"/>
            <charset val="1"/>
          </rPr>
          <t>É aconselhável buscar auxilio do setor contábil do órgão para aferição dos tributos.</t>
        </r>
      </text>
    </comment>
    <comment ref="B133" authorId="0">
      <text>
        <r>
          <rPr>
            <sz val="10"/>
            <color rgb="FF000000"/>
            <rFont val="Arial"/>
            <family val="2"/>
            <charset val="1"/>
          </rPr>
          <t>Serviços de Limpeza devem usar o Quadro 6 da Planilha modelo da IN  05/2017 ( esta planilha já está configurada na aba por M²).
Serviços de Vigilância devem usar o quadro 5 da  da Planilha modelo da IN  05/2017</t>
        </r>
      </text>
    </comment>
  </commentList>
</comments>
</file>

<file path=xl/comments12.xml><?xml version="1.0" encoding="utf-8"?>
<comments xmlns="http://schemas.openxmlformats.org/spreadsheetml/2006/main">
  <authors>
    <author>Autor</author>
  </authors>
  <commentList>
    <comment ref="D46" authorId="0">
      <text>
        <r>
          <rPr>
            <sz val="10"/>
            <color rgb="FF000000"/>
            <rFont val="Arial"/>
            <family val="2"/>
            <charset val="1"/>
          </rPr>
          <t>Usuário do Windows:
EMPRESAS OPTATANTES PELO SIMPLES ESTÃO ISENTAS DO PAGAMENTO DAS SEGUINTES CONTRIBUIÇÕES:  SESI ou SESC, SENAI ou SENAC, INCRA, Salário-Educação, SEBRAE, Portanto devem ser zeradas na Planilha.
Empresas de sessão de mão de obra não podem ser optantes pelo Simples com excessão das empresas que prestam serviços de serviços de vigilância, limpeza ou conservação desde que não exerçam em conjunto com outras atividades vedadas,c) Regime de Tributação – SIMPLES –Regime Especial Unificado de Arrecadação de Tributos e Contribuições – Microempresas (MEs) e Empresas de Pequeno Porte (EPPs) O SIMPLES consiste em um regime especial unificado de arrecadação de Tributos e Contribuições devidos pelas Microempresas e Empresas de Pequeno Porte, instituído pela Lei Complementar nº 123, de 14 de dezembro de 2006. Lembramos ainda que as microempresas e empresas de pequeno porte optantes pelo Simples Nacional ficam dispensadas do pagamento das demais contribuições instituídas pela União, tais como SESI ou SESC, SENAI ou SENAC, INCRA, Salário-Educação, SEBRAE, conforme expressa previsão legal contida no art. 13, § 3º da Lei Complementar nº 123/2006: § 3º  As microempresas e empresas de pequeno porte optantes pelo Simples Nacional ficam dispensadas do pagamento das demais contribuições instituídas pela União, inclusive as contribuições para as entidades privadas de serviço social e de formação profissional vinculadas ao sistema sindical, de que trata o art. 240 da Constituição Federal, e demais entidades de serviço social autônomo. Nem todas as microempresas ou empresas de pequeno porte poderão recolher os impostos e contribuições na forma do Simples, como por exemplo, as empresas que exercem atividade de cessão ou locação de mão de obra8. As vedações ao ingresso no Simples Nacional estão previstas no art. 17 da Lei Complementar nº 123/2006. 
8 Entende-se por cessão de mão de obra a colocação à disposição da empresa contratante, em suas dependências ou nas de terceiros, de trabalhadores que realizem serviços contínuos, relacionados ou não com sua atividade fim, quaisquer que sejam a natureza e a forma de contratação, inclusive por meio de trabalho temporário na forma da Lei nº 6.019, de 3 de janeiro de 1974. (art.115 Instrução Normativa RFB nº 971, de 13 de novembro de 2009)
117
CAPÍTULO VI – COMPOSIÇÃO DA PLANILHA DE CUSTO E FORMAÇÃO DE PREÇO 
Art. 17. Não poderão recolher os impostos e contribuições na forma do Simples Nacional a microempresa ou a empresa de pequeno porte: (...) XII – que realize cessão ou locação de mão de obra; É importante ressaltar que as vedações previstas no caput do art. 17 da LC nº 123/2006 não se aplicam às pessoas jurídicas que se dediquem exclusivamente às atividades referidas nos §§ 5o-B a 5o-E do art. 18 da Lei Complementar multicitada, ou as exerçam em conjunto com outras atividades que não tenham sido objeto de vedação no mesmo caput. Não se incluem nas vedações, por exemplo, as empresas que prestam serviços de vigilância, limpeza ou conservação desde que não exerçam em conjunto com outras atividades vedadas.
LC 123/2006 – §§ 5o-B a 5o-E do art. 18 da Lei Complementar nº 123/2006 § 5º-H.  A vedação de que trata o inciso XII do caput do art. 17 desta Lei Complementar não se aplica às atividades referidas no § 5º-C deste artigo. (Incluído pela Lei Complementar nº 128, de 2008) § 5º-C.  Sem prejuízo do disposto no § 1º do art. 17 desta Lei Complementar, as atividades de prestação de serviços seguintes serão tributadas na forma do Anexo IV desta Lei Complementar, hipótese em que não estará incluída no Simples Nacional a contribuição prevista no inciso VI do caput do art. 13 desta Lei Complementar, devendo ela ser recolhida segundo a legislação prevista para os demais contribuintes ou responsáveis: (Incluído pela Lei Complementar nº 128, de 2008) (...) VI – serviço de vigilância, limpeza ou conservação. (Incluído pela Lei Complementar nº 128, de 2008)</t>
        </r>
      </text>
    </comment>
    <comment ref="B93" authorId="0">
      <text>
        <r>
          <rPr>
            <b/>
            <sz val="9"/>
            <color rgb="FF000000"/>
            <rFont val="Tahoma"/>
            <family val="2"/>
            <charset val="1"/>
          </rPr>
          <t>Usuário do Windows:</t>
        </r>
        <r>
          <rPr>
            <sz val="9"/>
            <color rgb="FF000000"/>
            <rFont val="Tahoma"/>
            <family val="2"/>
            <charset val="1"/>
          </rPr>
          <t>Texto extraído da IN 05/2017 
Nota: Quando houver a necessidade de reposição de um empregado durante sua ausência nos casos de intervalo para repouso ou alimentação deve-se contemplar o Submódulo 4.2.</t>
        </r>
      </text>
    </comment>
    <comment ref="B132" authorId="0">
      <text>
        <r>
          <rPr>
            <sz val="10"/>
            <color rgb="FF000000"/>
            <rFont val="Arial"/>
            <family val="2"/>
            <charset val="1"/>
          </rPr>
          <t>Serviços de Limpeza devem usar o Quadro 6 da Planilha modelo da IN  05/2017 ( esta planilha já está configurada na aba por M²).
Serviços de Vigilância devem usar o quadro 5 da  da Planilha modelo da IN  05/2017</t>
        </r>
      </text>
    </comment>
  </commentList>
</comments>
</file>

<file path=xl/comments2.xml><?xml version="1.0" encoding="utf-8"?>
<comments xmlns="http://schemas.openxmlformats.org/spreadsheetml/2006/main">
  <authors>
    <author>Autor</author>
  </authors>
  <commentList>
    <comment ref="A3" authorId="0">
      <text>
        <r>
          <rPr>
            <sz val="10"/>
            <color rgb="FF000000"/>
            <rFont val="Arial"/>
            <family val="2"/>
            <charset val="1"/>
          </rPr>
          <t>ESSAS INFORMAÇÕES DEVEM SER REPASSADAS VIA EMAIL PELO SETOR DE LICITAÇÃO</t>
        </r>
      </text>
    </comment>
    <comment ref="H27" authorId="0">
      <text>
        <r>
          <rPr>
            <sz val="10"/>
            <color rgb="FF000000"/>
            <rFont val="Arial"/>
            <family val="2"/>
            <charset val="1"/>
          </rPr>
          <t>COLOCAR O VALOR DA CCT MAS DEIXAR ABERTO PARA FORNECEDOR ALTERAR “ SÓ PODE SER MAIOR QUE A CCT”</t>
        </r>
      </text>
    </comment>
    <comment ref="B28" authorId="0">
      <text>
        <r>
          <rPr>
            <sz val="10"/>
            <color rgb="FF000000"/>
            <rFont val="Arial"/>
            <family val="2"/>
            <charset val="1"/>
          </rPr>
          <t>Previsto em legislação ou acordo coletivo para trabalhos que impliquem em condições de risco à saúde ou integridade física do trabalhador.
30% sobre o salário base.</t>
        </r>
      </text>
    </comment>
    <comment ref="D28" authorId="0">
      <text>
        <r>
          <rPr>
            <sz val="10"/>
            <color rgb="FF000000"/>
            <rFont val="Arial"/>
            <family val="2"/>
            <charset val="1"/>
          </rPr>
          <t>Selecionar:
*Com Periculosidade
* Sem Periculosidade</t>
        </r>
      </text>
    </comment>
    <comment ref="E28" authorId="0">
      <text>
        <r>
          <rPr>
            <sz val="10"/>
            <color rgb="FF000000"/>
            <rFont val="Arial"/>
            <family val="2"/>
            <charset val="1"/>
          </rPr>
          <t>Selecionar 0% quando não houver Periculosidade e 30% quando incidir</t>
        </r>
      </text>
    </comment>
    <comment ref="B29" authorId="0">
      <text>
        <r>
          <rPr>
            <sz val="10"/>
            <color rgb="FF000000"/>
            <rFont val="Arial"/>
            <family val="2"/>
            <charset val="1"/>
          </rPr>
          <t>O salário de referência para cálculo do seu custo é o salário mínimo estadual ou o nacional ou o salário normativo da categoria se expressamente estabelecido no acordo ou convenção coletiva.
São operações que, por sua natureza, condições ou métodos de trabalho, exponham os empregados a agentes nocivos à saúde, acima dos limites de tolerância fixados em razão da natureza e da intensidade do agente e do tempo de exposição aos seus efeitos. (Art. 189, CLT)
Grau máximo: 40%;
Grau médio: 20%;
Grau mínimo: 10%.</t>
        </r>
      </text>
    </comment>
    <comment ref="B30" authorId="0">
      <text>
        <r>
          <rPr>
            <sz val="10"/>
            <color rgb="FF000000"/>
            <rFont val="Arial"/>
            <family val="2"/>
            <charset val="1"/>
          </rPr>
          <t>Verificar as auterações trazidas pela Reforma Trabalhista – Á principio aguardar as Novas CCT´s
Conferido ao trabalhador por trabalho executado entre as 22 horas de um dia e as 5 horas do dia seguinte.
Remunerado com adicional de, pelo menos, 20% sobre a hora diurna.
Adicional noturno para 1 hora trabalhada = Valor da hora diurna X 20%
Valor da hora diurna = Salário base / Total de horas trabalhadas no mês
O total de horas trabalhadas no mês calcula-se considerando 5 semanas de trabalho, conforme determinação do MTE.
Exemplo:
Salário: R$2.200,00
Valor da hora diurna: 2.200,00 / 220 horas (jornada de 44 horas semanais) = R$10,00
Adicional noturno para 1 hora trabalhada = 10,00 X 20% = R$2,00</t>
        </r>
      </text>
    </comment>
    <comment ref="D30" authorId="0">
      <text>
        <r>
          <rPr>
            <sz val="10"/>
            <color rgb="FF000000"/>
            <rFont val="Arial"/>
            <family val="2"/>
            <charset val="1"/>
          </rPr>
          <t>Selecionar entre:
Mínimo
Médio 
Máximo
Sem Insalubridade</t>
        </r>
      </text>
    </comment>
    <comment ref="E30" authorId="0">
      <text>
        <r>
          <rPr>
            <sz val="10"/>
            <color rgb="FF000000"/>
            <rFont val="Arial"/>
            <family val="2"/>
            <charset val="1"/>
          </rPr>
          <t>Selecionar entre:
0%
10%
20%
40%
E o valor da Insalubridade será calculado sobre o valor da salário</t>
        </r>
      </text>
    </comment>
    <comment ref="F30" authorId="0">
      <text>
        <r>
          <rPr>
            <sz val="10"/>
            <color rgb="FF000000"/>
            <rFont val="Arial"/>
            <family val="2"/>
            <charset val="1"/>
          </rPr>
          <t>Digitar valo do Salário Mínimo ou o da Categoria se expressamente estabelecido em Convenção Coletiva</t>
        </r>
      </text>
    </comment>
    <comment ref="B31" authorId="0">
      <text>
        <r>
          <rPr>
            <sz val="10"/>
            <color rgb="FF000000"/>
            <rFont val="Arial"/>
            <family val="2"/>
            <charset val="1"/>
          </rPr>
          <t>Corresponde a 52 minutos e 30 segundos.
A hora noturna adicional corresponde à diferença da hora noturna menos a hora normal.
Hora noturna = Hora normal X (60/52,5)
Hora noturna = Hora normal X 1,14285714
Exemplo:
Salário: R$2.200,00
Valor da hora diurna: 2.200,00 / 220 horas (jornada de 44 horas semanais) = R$10,00
Hora noturna = 10,00 X 1,14285714 = R$11,42
Hora noturna adicional = Hora noturna – Hora normal
Hora noturna adicional = (11,42 X 20%) - (R$10,00 X 20%) = 2,286 – 2,00 = 0,286</t>
        </r>
      </text>
    </comment>
    <comment ref="B34" authorId="0">
      <text>
        <r>
          <rPr>
            <sz val="10"/>
            <color rgb="FF000000"/>
            <rFont val="Arial"/>
            <family val="2"/>
            <charset val="1"/>
          </rPr>
          <t>Relativo ao trabalho realizado além da jornada diária regular estabelecida, com acréscimo de no mínimo 50% do valor da hora normal para trabalho extra (entre segunda e sábado) e de 100% em domingos e feriados.
Não pode ser maior do que 2 horas diárias. (Art. 59, CLT)</t>
        </r>
      </text>
    </comment>
    <comment ref="B40" authorId="0">
      <text>
        <r>
          <rPr>
            <b/>
            <sz val="10"/>
            <color rgb="FF000000"/>
            <rFont val="Arial"/>
            <family val="2"/>
            <charset val="1"/>
          </rPr>
          <t>Cálculo de acordo com o Manual para preenchimento de Planilha do MPOG de 2011</t>
        </r>
        <r>
          <rPr>
            <sz val="10"/>
            <color rgb="FF000000"/>
            <rFont val="Arial"/>
            <family val="2"/>
            <charset val="1"/>
          </rPr>
          <t>Considerando que na duração do contrato de 60 meses o empregado tem 5 meses de férias e labora em 56 meses:
(5/56) x 100 = 8,93%;</t>
        </r>
        <r>
          <rPr>
            <b/>
            <sz val="10"/>
            <color rgb="FF000000"/>
            <rFont val="Arial"/>
            <family val="2"/>
            <charset val="1"/>
          </rPr>
          <t>Cálculo de acordo com o Caderno de Logistica/ Serviços de limpeza  MPOG de 2014</t>
        </r>
        <r>
          <rPr>
            <sz val="10"/>
            <color rgb="FF000000"/>
            <rFont val="Arial"/>
            <family val="2"/>
            <charset val="1"/>
          </rPr>
          <t>Para os contratos de 1 ano (12 meses) o empregado trabalha 12 meses e tem direito a 1 mês de férias, o que significa:
(1/12) x 100 = 8,33%.
Por derradeiro a IN 05/2017, trouxe o seguinte texto
Nota 1: Como a planilha de custos e formação de preços é calculada mensalmente, provisiona-se
proporcionalmente 1/12 (um doze avos) dos valores referentes a gratificação natalina e adicional
de férias.</t>
        </r>
        <r>
          <rPr>
            <b/>
            <sz val="10"/>
            <color rgb="FF000000"/>
            <rFont val="Arial"/>
            <family val="2"/>
            <charset val="1"/>
          </rPr>
          <t>( No meu entendimento definiu que o percentual do 13° é de 8,33% ), 
MAS É NECESSÁRIO ESPERAR SAIR O MANUAL DE PREENCHIMENTO DA PLANILHA, TÃO PROMETIDO PARA  SE BATER O MARTELO, POIS COSTUMA UMA PUBLICAÇÃO NÃO BATER COM A OUTRA, SÓ PARA VARIAR.</t>
        </r>
      </text>
    </comment>
    <comment ref="G40" authorId="0">
      <text>
        <r>
          <rPr>
            <b/>
            <sz val="9"/>
            <color rgb="FF000000"/>
            <rFont val="Tahoma"/>
            <family val="2"/>
            <charset val="1"/>
          </rPr>
          <t>Usuário do Windows:</t>
        </r>
        <r>
          <rPr>
            <sz val="9"/>
            <color rgb="FF000000"/>
            <rFont val="Tahoma"/>
            <family val="2"/>
            <charset val="1"/>
          </rPr>
          <t>8,33% ou 8,93% Ler comentário na descrição do item 13º SALÁRIO ao lado</t>
        </r>
      </text>
    </comment>
    <comment ref="B41" authorId="0">
      <text>
        <r>
          <rPr>
            <sz val="10"/>
            <color rgb="FF000000"/>
            <rFont val="Arial"/>
            <family val="2"/>
            <charset val="1"/>
          </rPr>
          <t>.( Art. 129,Art. 130, inciso I da CLT e Art. 7° , inciso XCII da CF/88 [=(1/12)+(1/3)/12]</t>
        </r>
        <r>
          <rPr>
            <b/>
            <sz val="10"/>
            <color rgb="FF000000"/>
            <rFont val="Arial"/>
            <family val="2"/>
            <charset val="1"/>
          </rPr>
          <t>Quando é retido a conta vinculada o calculo deve ser [</t>
        </r>
        <r>
          <rPr>
            <sz val="10"/>
            <color rgb="FF000000"/>
            <rFont val="Arial"/>
            <family val="2"/>
            <charset val="1"/>
          </rPr>
          <t>=(1/11)+(1/3/11) que dá os 12,10% retidos na conta vinculada (calculo CNJ).
A IN 05/2017, trouxe o seguinte texto com relação ao módulo 2.1
Nota 1: Como a planilha de custos e formação de preços é calculada mensalmente, provisiona-se
proporcionalmente 1/12 (um doze avos) dos valores referentes a gratificação natalina e adicional
de férias.</t>
        </r>
        <r>
          <rPr>
            <b/>
            <sz val="10"/>
            <color rgb="FF000000"/>
            <rFont val="Arial"/>
            <family val="2"/>
            <charset val="1"/>
          </rPr>
          <t>( No meu entendimento definiu que o percentual do 13° é de 8,33% ),</t>
        </r>
        <r>
          <rPr>
            <b/>
            <u/>
            <sz val="10"/>
            <color rgb="FF000000"/>
            <rFont val="Arial"/>
            <family val="2"/>
            <charset val="1"/>
          </rPr>
          <t>MAS É NECESSÁRIO ESPERAR SAIR O MANUAL DE PREENCHIMENTO DA PLANILHA, TÃO PROMETIDO PARA BATER O MARTELO, POIS COSTUMA UMA PUBLICAÇÃO NÃO BATER COM A OUTRA, SÓ PARA VARIAR.</t>
        </r>
        <r>
          <rPr>
            <sz val="10"/>
            <color rgb="FF000000"/>
            <rFont val="Arial"/>
            <family val="2"/>
            <charset val="1"/>
          </rPr>
          <t>Nota 2: O adicional de férias contido no Submódulo 2.1 corresponde a 1/3 (um terço) da
remuneração que por sua vez é divido por 12 (doze) conforme Nota 1 acima.</t>
        </r>
        <r>
          <rPr>
            <b/>
            <sz val="10"/>
            <color rgb="FF000000"/>
            <rFont val="Arial"/>
            <family val="2"/>
            <charset val="1"/>
          </rPr>
          <t>( Desta forma também defini que o percentual das férias seria 1/12 * 1/3 que corresponde a 11,11% , mas na cartilha da conta vinculada lançada em fevereiro de 2018, continua 12,10% para ser retido e pago na conta vinculada referente a provisão de férias e 1/3)</t>
        </r>
        <r>
          <rPr>
            <b/>
            <u/>
            <sz val="10"/>
            <color rgb="FF000000"/>
            <rFont val="Arial"/>
            <family val="2"/>
            <charset val="1"/>
          </rPr>
          <t>PORTANTO SE FAZ NECESSÁRIO CONTINUAR USANDO O CALCULO DO CNJ DE 12,10% EM CONTRATOS QUE UTILIZEM CONTA VINCULADA, POIS COMO PODERIAMOS RETER UM VALOR QUE NÃO ESTÁ PROVISIONADO NA PLANILHA)</t>
        </r>
      </text>
    </comment>
    <comment ref="G41" authorId="0">
      <text>
        <r>
          <rPr>
            <b/>
            <sz val="9"/>
            <color rgb="FF000000"/>
            <rFont val="Tahoma"/>
            <family val="2"/>
            <charset val="1"/>
          </rPr>
          <t>Usuário do Windows:</t>
        </r>
        <r>
          <rPr>
            <sz val="9"/>
            <color rgb="FF000000"/>
            <rFont val="Tahoma"/>
            <family val="2"/>
            <charset val="1"/>
          </rPr>
          <t>11,11% ou 12,10% Ler comentário na descrição do item FÉRIAS ao lado</t>
        </r>
      </text>
    </comment>
    <comment ref="B45" authorId="0">
      <text>
        <r>
          <rPr>
            <sz val="10"/>
            <color rgb="FF000000"/>
            <rFont val="Arial"/>
            <family val="2"/>
            <charset val="1"/>
          </rPr>
          <t>Contribuição de 20% sobre o total das remunerações destinada à Seguridade Social, conforme determina a Lei 8.212/91.</t>
        </r>
      </text>
    </comment>
    <comment ref="B46" authorId="0">
      <text>
        <r>
          <rPr>
            <sz val="10"/>
            <color rgb="FF000000"/>
            <rFont val="Arial"/>
            <family val="2"/>
            <charset val="1"/>
          </rPr>
          <t>Contribuições sociais destinadas ao Serviço Social da Indústria (SESI) e ao Serviço Social do Comércio (SESC). As empresas optantes pelo Simples Nacional são isentas. Para as demais empresas fica determinado o percentual de 1,5%.</t>
        </r>
      </text>
    </comment>
    <comment ref="D46" authorId="0">
      <text>
        <r>
          <rPr>
            <sz val="10"/>
            <color rgb="FF000000"/>
            <rFont val="Arial"/>
            <family val="2"/>
            <charset val="1"/>
          </rPr>
          <t>Usuário do Windows:
EMPRESAS OPTATANTES PELO SIMPLES ESTÃO ISENTAS DO PAGAMENTO DAS SEGUINTES CONTRIBUIÇÕES:  SESI ou SESC, SENAI ou SENAC, INCRA, Salário-Educação, SEBRAE, Portanto devem ser zeradas na Planilha.
Empresas de sessão de mão de obra não podem ser optantes pelo Simples com excessão das empresas que prestam serviços de serviços de vigilância, limpeza ou conservação desde que não exerçam em conjunto com outras atividades vedadas,c) Regime de Tributação – SIMPLES –Regime Especial Unificado de Arrecadação de Tributos e Contribuições – Microempresas (MEs) e Empresas de Pequeno Porte (EPPs) O SIMPLES consiste em um regime especial unificado de arrecadação de Tributos e Contribuições devidos pelas Microempresas e Empresas de Pequeno Porte, instituído pela Lei Complementar nº 123, de 14 de dezembro de 2006. Lembramos ainda que as microempresas e empresas de pequeno porte optantes pelo Simples Nacional ficam dispensadas do pagamento das demais contribuições instituídas pela União, tais como SESI ou SESC, SENAI ou SENAC, INCRA, Salário-Educação, SEBRAE, conforme expressa previsão legal contida no art. 13, § 3º da Lei Complementar nº 123/2006: § 3º  As microempresas e empresas de pequeno porte optantes pelo Simples Nacional ficam dispensadas do pagamento das demais contribuições instituídas pela União, inclusive as contribuições para as entidades privadas de serviço social e de formação profissional vinculadas ao sistema sindical, de que trata o art. 240 da Constituição Federal, e demais entidades de serviço social autônomo. Nem todas as microempresas ou empresas de pequeno porte poderão recolher os impostos e contribuições na forma do Simples, como por exemplo, as empresas que exercem atividade de cessão ou locação de mão de obra8. As vedações ao ingresso no Simples Nacional estão previstas no art. 17 da Lei Complementar nº 123/2006. 
8 Entende-se por cessão de mão de obra a colocação à disposição da empresa contratante, em suas dependências ou nas de terceiros, de trabalhadores que realizem serviços contínuos, relacionados ou não com sua atividade fim, quaisquer que sejam a natureza e a forma de contratação, inclusive por meio de trabalho temporário na forma da Lei nº 6.019, de 3 de janeiro de 1974. (art.115 Instrução Normativa RFB nº 971, de 13 de novembro de 2009)
117
CAPÍTULO VI – COMPOSIÇÃO DA PLANILHA DE CUSTO E FORMAÇÃO DE PREÇO 
Art. 17. Não poderão recolher os impostos e contribuições na forma do Simples Nacional a microempresa ou a empresa de pequeno porte: (...) XII – que realize cessão ou locação de mão de obra; É importante ressaltar que as vedações previstas no caput do art. 17 da LC nº 123/2006 não se aplicam às pessoas jurídicas que se dediquem exclusivamente às atividades referidas nos §§ 5o-B a 5o-E do art. 18 da Lei Complementar multicitada, ou as exerçam em conjunto com outras atividades que não tenham sido objeto de vedação no mesmo caput. Não se incluem nas vedações, por exemplo, as empresas que prestam serviços de vigilância, limpeza ou conservação desde que não exerçam em conjunto com outras atividades vedadas.
LC 123/2006 – §§ 5o-B a 5o-E do art. 18 da Lei Complementar nº 123/2006 § 5º-H.  A vedação de que trata o inciso XII do caput do art. 17 desta Lei Complementar não se aplica às atividades referidas no § 5º-C deste artigo. (Incluído pela Lei Complementar nº 128, de 2008) § 5º-C.  Sem prejuízo do disposto no § 1º do art. 17 desta Lei Complementar, as atividades de prestação de serviços seguintes serão tributadas na forma do Anexo IV desta Lei Complementar, hipótese em que não estará incluída no Simples Nacional a contribuição prevista no inciso VI do caput do art. 13 desta Lei Complementar, devendo ela ser recolhida segundo a legislação prevista para os demais contribuintes ou responsáveis: (Incluído pela Lei Complementar nº 128, de 2008) (...) VI – serviço de vigilância, limpeza ou conservação. (Incluído pela Lei Complementar nº 128, de 2008)</t>
        </r>
      </text>
    </comment>
    <comment ref="G46" authorId="0">
      <text>
        <r>
          <rPr>
            <sz val="9"/>
            <color rgb="FF000000"/>
            <rFont val="Tahoma"/>
            <family val="2"/>
            <charset val="1"/>
          </rPr>
          <t>Zerar se for optante pelo simples</t>
        </r>
      </text>
    </comment>
    <comment ref="B47" authorId="0">
      <text>
        <r>
          <rPr>
            <sz val="10"/>
            <color rgb="FF000000"/>
            <rFont val="Arial"/>
            <family val="2"/>
            <charset val="1"/>
          </rPr>
          <t>Contribuição ao Serviço Nacional de Aprendizagem Industrial (SENAI) e ao Serviço Nacional de Aprendizagem Comercial (SENAC). As empresas optantes pelo Simples Nacional são isentas. Para as demais empresas com menos de 500 empregados a incidência é de 1% e para as empresas com mais de 500 empregados a incidência é de 1,2%.</t>
        </r>
      </text>
    </comment>
    <comment ref="G47" authorId="0">
      <text>
        <r>
          <rPr>
            <b/>
            <sz val="9"/>
            <color rgb="FF000000"/>
            <rFont val="Tahoma"/>
            <family val="2"/>
            <charset val="1"/>
          </rPr>
          <t>Usuário do Windo</t>
        </r>
        <r>
          <rPr>
            <sz val="9"/>
            <color rgb="FF000000"/>
            <rFont val="Tahoma"/>
            <family val="2"/>
            <charset val="1"/>
          </rPr>
          <t>Zerar se for optante pelo simples</t>
        </r>
      </text>
    </comment>
    <comment ref="B48" authorId="0">
      <text>
        <r>
          <rPr>
            <sz val="10"/>
            <color rgb="FF000000"/>
            <rFont val="Arial"/>
            <family val="2"/>
            <charset val="1"/>
          </rPr>
          <t>Contribuição ao Instituto Nacional de Colonização e Reforma Agrária. As empresas optantes pelo Simples Nacional são isentas e as demais empresas pagam um percentual de 0,2%.</t>
        </r>
      </text>
    </comment>
    <comment ref="G48" authorId="0">
      <text>
        <r>
          <rPr>
            <b/>
            <sz val="9"/>
            <color rgb="FF000000"/>
            <rFont val="Tahoma"/>
            <family val="2"/>
            <charset val="1"/>
          </rPr>
          <t>Usuário do Windows:</t>
        </r>
        <r>
          <rPr>
            <sz val="9"/>
            <color rgb="FF000000"/>
            <rFont val="Tahoma"/>
            <family val="2"/>
            <charset val="1"/>
          </rPr>
          <t>Zerar se for optante pelo simples</t>
        </r>
      </text>
    </comment>
    <comment ref="B49" authorId="0">
      <text>
        <r>
          <rPr>
            <sz val="10"/>
            <color rgb="FF000000"/>
            <rFont val="Arial"/>
            <family val="2"/>
            <charset val="1"/>
          </rPr>
          <t>Contribuição social destinada ao financiamento da educação básica nos termos da Constituição Federal à base de 2,5%. As empresas optantes pelo Simples Nacional são isentas.</t>
        </r>
      </text>
    </comment>
    <comment ref="G49" authorId="0">
      <text>
        <r>
          <rPr>
            <b/>
            <sz val="9"/>
            <color rgb="FF000000"/>
            <rFont val="Tahoma"/>
            <family val="2"/>
            <charset val="1"/>
          </rPr>
          <t>Usuário do Windows:</t>
        </r>
        <r>
          <rPr>
            <sz val="9"/>
            <color rgb="FF000000"/>
            <rFont val="Tahoma"/>
            <family val="2"/>
            <charset val="1"/>
          </rPr>
          <t>Zerar se for optante pelo simples</t>
        </r>
      </text>
    </comment>
    <comment ref="B50" authorId="0">
      <text>
        <r>
          <rPr>
            <sz val="10"/>
            <color rgb="FF000000"/>
            <rFont val="Arial"/>
            <family val="2"/>
            <charset val="1"/>
          </rPr>
          <t>O Fundo de Garantia do Tempo de Serviço (FGTS) constitui-se em um pecúlio disponibilizado quando da aposentadoria ou morte do trabalhador e representa uma garantia para a indenização do tempo de serviço nos casos de demissão imotivada. É garantido pela Constituição Federal à base de 8%.</t>
        </r>
      </text>
    </comment>
    <comment ref="B51" authorId="0">
      <text>
        <r>
          <rPr>
            <sz val="10"/>
            <color rgb="FF000000"/>
            <rFont val="Arial"/>
            <family val="2"/>
            <charset val="1"/>
          </rPr>
          <t>Contribuição destinada a custear benefícios concedidos em razão do grau de incidência de incapacidade laborativa decorrentes dos riscos ambientais do trabalho. Pode ser estabelecido em:
SEG.ACID.TRAB. FAP X RAT ( Art. 22,II, da Lei n° 8.212/91).Alíquotas do SAT em função do FAP(Decreto n° 6.042/07 e n° 6.957/09).Fap(Anexo da RESOLUÇÃO mps/cnps n° 1.316/10)=alíquota do FAPx perc. Do SAT
Esses Perecentuais devem ser conferidos pelo pregoeiro e equipe de apoio, com base na GFIP
1% quando o risco de acidentes do trabalho for considerado leve.
2% quando o risco de acidentes do trabalho for considerado médio.
3% quando o risco de acidentes do trabalho for considerado grave.</t>
        </r>
      </text>
    </comment>
    <comment ref="G51" authorId="0">
      <text>
        <r>
          <rPr>
            <b/>
            <sz val="9"/>
            <color rgb="FF000000"/>
            <rFont val="Tahoma"/>
            <family val="2"/>
            <charset val="1"/>
          </rPr>
          <t>Usuário do Windows:</t>
        </r>
        <r>
          <rPr>
            <sz val="9"/>
            <color rgb="FF000000"/>
            <rFont val="Tahoma"/>
            <family val="2"/>
            <charset val="1"/>
          </rPr>
          <t>JURISPRUDÊNCIA - TCU (Acórdão  2.554/2010 - Primeira Câmara) 
7. Com relação aos itens de custo não cotados ou cotados a menor pela empresa vencedora do certame (como o “Seguro de Acidente de Trabalho”, a “Assistência Social Familiar Sindical”, a “Assistência Social” e os benefícios indiretos concedidos pelas empresas aos empregados),</t>
        </r>
        <r>
          <rPr>
            <b/>
            <sz val="9"/>
            <color rgb="FF000000"/>
            <rFont val="Tahoma"/>
            <family val="2"/>
            <charset val="1"/>
          </rPr>
          <t>não chegam a invalidar a proposta da licitante, mas devem ser objeto de acompanhamento pelo CBPF,</t>
        </r>
        <r>
          <rPr>
            <sz val="9"/>
            <color rgb="FF000000"/>
            <rFont val="Tahoma"/>
            <family val="2"/>
            <charset val="1"/>
          </rPr>
          <t>com a verificação do cumprimento, pela contratada, de suas obrigações trabalhistas em conformidade com a legislação, de forma a resguardar a Administração de eventual responsabilização solidária</t>
        </r>
        <r>
          <rPr>
            <b/>
            <sz val="9"/>
            <color rgb="FF000000"/>
            <rFont val="Tahoma"/>
            <family val="2"/>
            <charset val="1"/>
          </rPr>
          <t>, não podendo essas obrigações importar em eventual acréscimo contratual, considerando que a empresa tem o dever de honrar sua proposta na licitação,</t>
        </r>
        <r>
          <rPr>
            <sz val="9"/>
            <color rgb="FF000000"/>
            <rFont val="Tahoma"/>
            <family val="2"/>
            <charset val="1"/>
          </rPr>
          <t>prestando os serviços contratados pelo preço acordado entre as partes</t>
        </r>
      </text>
    </comment>
    <comment ref="B52" authorId="0">
      <text>
        <r>
          <rPr>
            <sz val="10"/>
            <color rgb="FF000000"/>
            <rFont val="Arial"/>
            <family val="2"/>
            <charset val="1"/>
          </rPr>
          <t>Contribuição social repassada ao Serviço Brasileiro de Apoio à Pequena e Média Empresa (SEBRAE), destinado a custear os programas de apoio à pequena e média empresa à base de 0,6%. As empresas optantes pelo Simples Nacional são isentas.</t>
        </r>
      </text>
    </comment>
    <comment ref="G52" authorId="0">
      <text>
        <r>
          <rPr>
            <b/>
            <sz val="9"/>
            <color rgb="FF000000"/>
            <rFont val="Tahoma"/>
            <family val="2"/>
            <charset val="1"/>
          </rPr>
          <t>Usuário do Windows:</t>
        </r>
        <r>
          <rPr>
            <sz val="9"/>
            <color rgb="FF000000"/>
            <rFont val="Tahoma"/>
            <family val="2"/>
            <charset val="1"/>
          </rPr>
          <t>Zerar se for optante pelo simples</t>
        </r>
      </text>
    </comment>
    <comment ref="G59" authorId="0">
      <text>
        <r>
          <rPr>
            <sz val="10"/>
            <color rgb="FF000000"/>
            <rFont val="Arial"/>
            <family val="2"/>
            <charset val="1"/>
          </rPr>
          <t>Pode variar conforme CCT. Sempre verificar.</t>
        </r>
      </text>
    </comment>
    <comment ref="B73" authorId="0">
      <text>
        <r>
          <rPr>
            <b/>
            <sz val="9"/>
            <color rgb="FF000000"/>
            <rFont val="Tahoma"/>
            <family val="2"/>
            <charset val="1"/>
          </rPr>
          <t>Usuário do Windows:</t>
        </r>
        <r>
          <rPr>
            <sz val="9"/>
            <color rgb="FF000000"/>
            <rFont val="Tahoma"/>
            <family val="2"/>
            <charset val="1"/>
          </rPr>
          <t>FUNDAMENTAÇÃO LEGAL - Constituição Federal de 1988 (Art. 7°, inciso XXI) - CLT (Art. 477, art. 487 a 491) - Observação (1) - Aviso Prévio Indenizado – Estudos CNJ – Resolução 98/2009  Aviso Prévio indenizado - 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término do contrato de trabalho. Cálculo ((1/12)x 0,05) x 100 =0,42%.</t>
        </r>
      </text>
    </comment>
    <comment ref="B74" authorId="0">
      <text>
        <r>
          <rPr>
            <b/>
            <sz val="9"/>
            <color rgb="FF000000"/>
            <rFont val="Tahoma"/>
            <family val="2"/>
            <charset val="1"/>
          </rPr>
          <t>Usuário do Windows:</t>
        </r>
        <r>
          <rPr>
            <sz val="9"/>
            <color rgb="FF000000"/>
            <rFont val="Tahoma"/>
            <family val="2"/>
            <charset val="1"/>
          </rPr>
          <t>aplicar o percentual do FGTS sobre o Aviso Prévio Indenizado.</t>
        </r>
        <r>
          <rPr>
            <b/>
            <sz val="9"/>
            <color rgb="FF000000"/>
            <rFont val="Tahoma"/>
            <family val="2"/>
            <charset val="1"/>
          </rPr>
          <t>Ex 8% X 0,42% = 0,03%</t>
        </r>
      </text>
    </comment>
    <comment ref="B75" authorId="0">
      <text>
        <r>
          <rPr>
            <b/>
            <sz val="9"/>
            <color rgb="FF000000"/>
            <rFont val="Tahoma"/>
            <family val="2"/>
            <charset val="1"/>
          </rPr>
          <t>Usuário do Windows:</t>
        </r>
        <r>
          <rPr>
            <sz val="9"/>
            <color rgb="FF000000"/>
            <rFont val="Tahoma"/>
            <family val="2"/>
            <charset val="1"/>
          </rPr>
          <t>FUNDAMENTAÇÃO LEGAL - Jurisprudência - TCU (Acórdão 2.217/2010 – Plenário - vide apêndice pág. 52)
49 Multa do FGTS do aviso prévio indenizado: valor da multa do FGTS indenizado (40%) + contribuição social sobre o FGTS (10%), que incide sobre a alíquota do FGTS (8%) aplicado sobre o custo de referência do aviso prévio indenizado.
 FUNDAMENTAÇÃO LEGAL - Lei nº 8.036, de 11 de maio de 1990 (Art. 18 § 1º) com redação dada pela Lei nº 9.491, de 9 de setembro de 1997. - Lei Complementar nº 110, de 29 de junho de 2001. (Art. 1°) - Observação (2) - Aviso Prévio Indenizado – Estudos CNJ – Resolução 98/2009 Multa FGTS - Rescisão sem Justa Causa: A Lei Complementar nº 110, de 29 de junho de 2001, determina multa de 50%, da soma dos depósitos do FGTS, no caso de rescisão sem justa causa. Considerando que 10% dos empregados pedem contas, essa penalidade recai sobre os 90% remanescentes. Considerando o pagamento da multa para os valores depositados relativos a salários, férias e 13º salário o cálculo dessa provisão corresponde a: 0,08 x 0,5 x 0,9 x (1 + 5/56 + 5/56 + 1/3 * 5/56) = 4,35%.</t>
        </r>
      </text>
    </comment>
    <comment ref="G75" authorId="0">
      <text>
        <r>
          <rPr>
            <b/>
            <sz val="10"/>
            <color rgb="FF000000"/>
            <rFont val="Arial"/>
            <family val="2"/>
            <charset val="1"/>
          </rPr>
          <t>1°- Não havendo conta vinculada o valor de referência estabelecido no Manual de preenchimento de planilhas do MPOG é de 4,35% APT+API.
FUNDAMENTAÇÃO LEGAL -</t>
        </r>
        <r>
          <rPr>
            <sz val="10"/>
            <color rgb="FF000000"/>
            <rFont val="Arial"/>
            <family val="2"/>
            <charset val="1"/>
          </rPr>
          <t>Lei nº 8.036, de 11 de maio de 1990 (Art. 18 § 1º) com redação dada pela Lei nº 9.491, de 9 de setembro de 1997. - Lei Complementar nº 110, de 29 de junho de 2001. (Art. 1°) -Aviso Prévio Indenizado – Estudos CNJ – Resolução 98/2009 Multa FGTS - Rescisão sem Justa Causa: A Lei Complementar nº 110, de 29 de junho de 2001, determina multa de 50%, da soma dos depósitos do FGTS, no caso de rescisão sem justa causa. Considerando que 10% dos empregados pedem contas, essa penalidade recai sobre os 90% remanescentes.Considerando o pagamento da multa para os valores depositados relativos a salários, férias e 13º salário o cálculo dessa provisão corresponde a: 0,08 x 0,5 x 0,9 x (1 + 5/56 + 5/56 + 1/3 * 5/56) = 4,35%.Onde 0,08 Corresponde ao % dop FGTS;  0,5 é os 50% da multa FGTS ; 0,9 corresponde é o percentual de funcionários que são demitidos sem justa causa;( 1 representa uma remuneração; 5/56 representa 5 meses de férias que um funcionário dentro de um periodo de 56 meses este raciocionio vale para férias e 13° e por fim 1/3 de 5/56 que é um terço constitucional de féria).
---------------------------------------------------------------------------------------------------------------------
2° Quando for exigido conta vinculada :Conforme orientações do MPOG, Quando houver conta vinculada, tanto para o Aviso Prévio Trabalhado quanto para o Aviso Prévio Indenizado, a porcentagem que irá incidir é de 5% soma dos dois avisos (API+APT) sobre o custo de referência.
E também foi orientado que está correto o raciocínio de ponderar os 5% entre o API e o APT, não precisando ser exatamente 50% pra cada. Isso dependerá das características intrínsecas de cada empresa e tipo de serviço, podendo ser definido pelo fornecedor desde que os 2 itens fechem em 5% no caso de ter conta vinculada.</t>
        </r>
      </text>
    </comment>
    <comment ref="B76" authorId="0">
      <text>
        <r>
          <rPr>
            <b/>
            <sz val="9"/>
            <color rgb="FF000000"/>
            <rFont val="Tahoma"/>
            <family val="2"/>
            <charset val="1"/>
          </rPr>
          <t>Usuário do Windows:</t>
        </r>
        <r>
          <rPr>
            <sz val="9"/>
            <color rgb="FF000000"/>
            <rFont val="Tahoma"/>
            <family val="2"/>
            <charset val="1"/>
          </rPr>
          <t>[(1 salário integral / 30 dias) x 7 dias] / 12 meses = 1,94% é o índice.Acórdão 1186/2017 Plenário (Auditoria, Relator Ministro-Substituto Augusto Sherman)
Licitação. Orçamento estimativo. Encargos sociais. Aviso prévio. Terceirização. Limite máximo. Prorrogação de contrato.
Nas licitações para contratação de mão de obra terceirizada, a Administração deve estabelecer na minuta do contrato que a parcela mensal a título de aviso prévio trabalhado será no percentualmáximo de 1,94% no primeiro ano, e, em caso de prorrogação do contrato, o percentual máximo dessa parcela será de0,194% a cada ano de prorrogação, a ser incluído por ocasião da formulação do aditivo da prorrogação do contrato, conforme a Lei 12.506/2011.</t>
        </r>
      </text>
    </comment>
    <comment ref="G82" authorId="0">
      <text>
        <r>
          <rPr>
            <sz val="10"/>
            <color rgb="FF000000"/>
            <rFont val="Arial"/>
            <family val="2"/>
            <charset val="1"/>
          </rPr>
          <t>Opnião Edilson:
A IN 05/2017, trouxe uma novidade com relação as férias, antes tinhamos calculado separado neste campo o %  das férias e em outro campo o % do (1/3) terço constitucional que no cálculo do CNJ seria 12,10%.
Mas  agora  a IN 05/2017, trouxe no submódulo 2.1 as férias e o 1/3 juntos, e repetiu o item  férias mais uma vez no Módulo 4 - como Custo de Reposição do Profissional Ausente.
Tenho visto alguns colocarem novamente o percentual de 12,10% ou 11,11%, o que no meu ponto está redondamente errado.
 O Texto da IN 05/2017 trouxe o seguinte texto:
Nota: As alíneas “A” a “F” referem-se somente ao custo que será pago ao repositor pelos dias
trabalhados</t>
        </r>
        <r>
          <rPr>
            <b/>
            <u/>
            <sz val="10"/>
            <color rgb="FF000000"/>
            <rFont val="Arial"/>
            <family val="2"/>
            <charset val="1"/>
          </rPr>
          <t>quando da necessidade de substituir</t>
        </r>
        <r>
          <rPr>
            <sz val="10"/>
            <color rgb="FF000000"/>
            <rFont val="Arial"/>
            <family val="2"/>
            <charset val="1"/>
          </rPr>
          <t>a mão de obra alocada na prestação do serviço.
Com base neste texto, até que saia o manual de preenchimento da planilha existem 2 opções:
1° Deixar em Branco: já que é novo e o valor é irrisório.
2° Calcular o percentual das férias+1 /3  + 13° salário e dividir por 12 e os seus reflexos que já seram automaticamente cáculados na letra F ( incidencia submodulo 2.1).</t>
        </r>
      </text>
    </comment>
    <comment ref="F83" authorId="0">
      <text>
        <r>
          <rPr>
            <b/>
            <sz val="9"/>
            <color rgb="FF000000"/>
            <rFont val="Tahoma"/>
            <family val="2"/>
            <charset val="1"/>
          </rPr>
          <t>Usuário do Windows:
CUSTO NÃO RENOVÁVEL :</t>
        </r>
        <r>
          <rPr>
            <sz val="9"/>
            <color rgb="FF000000"/>
            <rFont val="Tahoma"/>
            <family val="2"/>
            <charset val="1"/>
          </rPr>
          <t>VALE LEMBRAR QUE POR OCASIÃO DAS PRORROGAÇÕES DEVE SE VERIFICAR SE ESSE VALOR PROVISIONADO FOI UTILIZADO, SE NÃO FOR OU FOR UTILIZADO EM PARTES, DEVE SER RETIRADO OU COLOCADO PROPORCIONALMENTE O % UTILIZADO.</t>
        </r>
        <r>
          <rPr>
            <b/>
            <sz val="9"/>
            <color rgb="FF000000"/>
            <rFont val="Tahoma"/>
            <family val="2"/>
            <charset val="1"/>
          </rPr>
          <t>(O RACIOCÍNIO VALE PARA TODOS OS ITENS DESTA TABELA DO SUBMÓDULO 4.1)</t>
        </r>
      </text>
    </comment>
    <comment ref="G83" authorId="0">
      <text>
        <r>
          <rPr>
            <sz val="10"/>
            <color rgb="FF000000"/>
            <rFont val="Arial"/>
            <family val="2"/>
            <charset val="1"/>
          </rPr>
          <t>Ausências previstas na legislação vigente que é composta por um conjunto de casos em que o funcionário pode se ausentar sem perda da remuneração.
Considerando que o empregado tenha apenas uma falta legal durante o período de 1 ano, temos:
Cálculo:
1/360 = 0,002777 = 0,27%
Esse valor pode variar conforme dados estatísticos da empresa.</t>
        </r>
      </text>
    </comment>
    <comment ref="G84" authorId="0">
      <text>
        <r>
          <rPr>
            <sz val="10"/>
            <color rgb="FF000000"/>
            <rFont val="Arial"/>
            <family val="2"/>
            <charset val="1"/>
          </rPr>
          <t>Concede ao empregado o direito de ausentar-se do serviço por cinco dias quando do nascimento de filho. De acordo com o IBGE, nascem filhos de 1,5% dos trabalhadores no período de um ano. Dessa forma a provisão para este item corresponde a:
((5/30)/12) x 0,015 x 100 = 0,02%
Esse valor pode variar conforme dados estatísticos da empresa.</t>
        </r>
      </text>
    </comment>
    <comment ref="F85" authorId="0">
      <text>
        <r>
          <rPr>
            <b/>
            <sz val="9"/>
            <color indexed="81"/>
            <rFont val="Tahoma"/>
            <family val="2"/>
          </rPr>
          <t>UFERSA:</t>
        </r>
        <r>
          <rPr>
            <sz val="9"/>
            <color indexed="81"/>
            <rFont val="Tahoma"/>
            <family val="2"/>
          </rPr>
          <t xml:space="preserve">
O auxílio-acidente é o afastamento por mais de 15 dias do trabalho em
virtude de acidentes no exercício da atividade profissional, ou doenças adquiridas ou desencadeadas pelo exercício do trabalho ou das condições em que este é realizado e com ele se relacione diretamente. O custo estimado nessa rubrica corresponde apenas aos primeiros 15 dias, o qual é obrigação da empresa a cobertura do mesmo, sendo após 15 dias, o benefício será coberto pela Previdência Social. O percentual de 0,06% é igual ao número de dias cobertos pela empresa em um mês dentro de um ano multiplicado por 1,33%  conforme  Anuário Estatístico de Acidentes do Trabalho-2016(AEAT/INSS2016)(http://sa.previdencia.gov.br/site/2018/04/AEAT-2016.pdf). 
</t>
        </r>
      </text>
    </comment>
    <comment ref="G85" authorId="0">
      <text>
        <r>
          <rPr>
            <sz val="10"/>
            <color rgb="FF000000"/>
            <rFont val="Arial"/>
            <family val="2"/>
            <charset val="1"/>
          </rPr>
          <t>Valor do custo referente aos 15 primeiros dias em que o empregado encontra-se afastado por acidente de trabalho e a empresa contratada tem o dever de remunerá-lo. Após esse período o ônus passa a ser do INSS. De acordo com os números mais recentes apresentados pelo Ministério da Previdência e Assistência Social, baseados em informações prestadas pelos empregadores, por meio de GFIP, 0,78% dos empregados se acidentam no ano. Assim, a provisão corresponde a:
((15/30)/12) x 0,0078 x 100 = 0,03%
Esse valor pode variar conforme dados estatísticos da empresa.</t>
        </r>
      </text>
    </comment>
    <comment ref="B87" authorId="0">
      <text>
        <r>
          <rPr>
            <b/>
            <sz val="9"/>
            <color rgb="FF000000"/>
            <rFont val="Tahoma"/>
            <family val="2"/>
            <charset val="1"/>
          </rPr>
          <t>Usuário do Windows:</t>
        </r>
        <r>
          <rPr>
            <sz val="9"/>
            <color rgb="FF000000"/>
            <rFont val="Tahoma"/>
            <family val="2"/>
            <charset val="1"/>
          </rPr>
          <t>Esse item (Ausência por doença), foi exlcuido do modelo de tabela da IN05/2017, mas não foi dito o motivo, nem mesmo se deveria ser computado por exemplo com o item Ausências Legais,</t>
        </r>
        <r>
          <rPr>
            <b/>
            <sz val="9"/>
            <color rgb="FF000000"/>
            <rFont val="Tahoma"/>
            <family val="2"/>
            <charset val="1"/>
          </rPr>
          <t>enquanto não sai o manual de prenchimento de planilha</t>
        </r>
        <r>
          <rPr>
            <sz val="9"/>
            <color rgb="FF000000"/>
            <rFont val="Tahoma"/>
            <family val="2"/>
            <charset val="1"/>
          </rPr>
          <t>prometido pelo Ministério do Planejamento acho prudente continuar usando o percentual por se tratar do mais impactante na planilha de custos.</t>
        </r>
      </text>
    </comment>
    <comment ref="G87" authorId="0">
      <text>
        <r>
          <rPr>
            <sz val="10"/>
            <color rgb="FF000000"/>
            <rFont val="Arial"/>
            <family val="2"/>
            <charset val="1"/>
          </rPr>
          <t>Esta parcela refere-se aos dias em que o empregado fica doente e a contratada deve providenciar sua substituição. Entendemos que deva ser adotado 5,96 dias, conforme consta no memorial de cálculo encaminhado pelo MP, devendo-se converter esses dias em mês e depois dividi-lo pelo número de meses no ano. (Acórdão 1753/2008 – Plenário TCU)
Cálculo:
(5,96/30)/12 x 100 = 1,66%;
Esse valor pode variar conforme dados estatísticos da empresa.</t>
        </r>
      </text>
    </comment>
    <comment ref="B93" authorId="0">
      <text>
        <r>
          <rPr>
            <b/>
            <sz val="9"/>
            <color rgb="FF000000"/>
            <rFont val="Tahoma"/>
            <family val="2"/>
            <charset val="1"/>
          </rPr>
          <t>Usuário do Windows:</t>
        </r>
        <r>
          <rPr>
            <sz val="9"/>
            <color rgb="FF000000"/>
            <rFont val="Tahoma"/>
            <family val="2"/>
            <charset val="1"/>
          </rPr>
          <t>Texto extraído da IN 05/2017 
Nota: Quando houver a necessidade de reposição de um empregado durante sua ausência nos casos de intervalo para repouso ou alimentação deve-se contemplar o Submódulo 4.2.</t>
        </r>
      </text>
    </comment>
    <comment ref="B107" authorId="0">
      <text>
        <r>
          <rPr>
            <b/>
            <sz val="9"/>
            <color rgb="FF000000"/>
            <rFont val="Tahoma"/>
            <family val="2"/>
            <charset val="1"/>
          </rPr>
          <t>Usuário do Windows:</t>
        </r>
        <r>
          <rPr>
            <sz val="9"/>
            <color rgb="FF000000"/>
            <rFont val="Tahoma"/>
            <family val="2"/>
            <charset val="1"/>
          </rPr>
          <t> Definição
Correspondem aos dispêndios relativos aos custos indiretos, tributos e lucros. Na metodologia de cálculo dos valores limites é denominado CITL.</t>
        </r>
      </text>
    </comment>
    <comment ref="F108" authorId="0">
      <text>
        <r>
          <rPr>
            <b/>
            <sz val="9"/>
            <color rgb="FF000000"/>
            <rFont val="Tahoma"/>
            <family val="2"/>
            <charset val="1"/>
          </rPr>
          <t>Usuário do Windows:
Texto extraído do Manual de preenchimento de Planilha MPOG 2011</t>
        </r>
        <r>
          <rPr>
            <sz val="9"/>
            <color rgb="FF000000"/>
            <rFont val="Tahoma"/>
            <family val="2"/>
            <charset val="1"/>
          </rPr>
          <t>Nota Explicativa: 
Custos indiretos: são os gastos da contratada com sua estrutura administrativa, organizacional e gerenciamento de seus contratos, tais como as despesas relativas a: a) funcionamento e manutenção da sede, tais como aluguel, água, luz, telefone, o Imposto Predial Territorial Urbano – IPTU, dentre outros; b) pessoal administrativo; c) material e equipamentos de escritório; d) supervisão de serviços;  e) seguros.
 -</t>
        </r>
        <r>
          <rPr>
            <b/>
            <sz val="9"/>
            <color rgb="FF000000"/>
            <rFont val="Tahoma"/>
            <family val="2"/>
            <charset val="1"/>
          </rPr>
          <t>Observação (1) -  No cálculo dos valores limites para os serviços de vigilância e limpeza foram estabelecidos os percentuais de 6% e 3% respectivamente</t>
        </r>
        <r>
          <rPr>
            <sz val="9"/>
            <color rgb="FF000000"/>
            <rFont val="Tahoma"/>
            <family val="2"/>
            <charset val="1"/>
          </rPr>
          <t>. Os custos indiretos são calculados mediante incidência daqueles percentuais sobre o somatório da remuneração, benefícios mensais e diários, insumos diversos, encargos sociais e trabalhistas.</t>
        </r>
        <r>
          <rPr>
            <b/>
            <sz val="12"/>
            <color rgb="FFFF0000"/>
            <rFont val="Tahoma"/>
            <family val="2"/>
            <charset val="1"/>
          </rPr>
          <t>Na verdade o esse texto traz arredondamentos, sendo que a Margem de lucro definida em estudo na Caderno de Limpeza do MPOG 2014 é</t>
        </r>
        <r>
          <rPr>
            <b/>
            <sz val="12"/>
            <color rgb="FF000000"/>
            <rFont val="Tahoma"/>
            <family val="2"/>
            <charset val="1"/>
          </rPr>
          <t>de 6,79% para Lucro e 3% para Custos Indiretos</t>
        </r>
        <r>
          <rPr>
            <b/>
            <sz val="12"/>
            <color rgb="FFFF0000"/>
            <rFont val="Tahoma"/>
            <family val="2"/>
            <charset val="1"/>
          </rPr>
          <t>, para os serviços de Vigilância e limpeza</t>
        </r>
        <r>
          <rPr>
            <sz val="9"/>
            <color rgb="FF000000"/>
            <rFont val="Tahoma"/>
            <family val="2"/>
            <charset val="1"/>
          </rPr>
          <t>________________________________________________________________________________________________________________</t>
        </r>
        <r>
          <rPr>
            <b/>
            <sz val="9"/>
            <color rgb="FF000000"/>
            <rFont val="Tahoma"/>
            <family val="2"/>
            <charset val="1"/>
          </rPr>
          <t>IN nº 05/17 – anexo vii-a</t>
        </r>
        <r>
          <rPr>
            <sz val="9"/>
            <color rgb="FF000000"/>
            <rFont val="Tahoma"/>
            <family val="2"/>
            <charset val="1"/>
          </rPr>
          <t>9.2  Consideram-se preços manifestamente inexeqüíveis aqueles que, comprovadamente, forem insuficientes para a cobertura dos custos decorrentes da contratação pretendida.
9.3 A inexeqüibilidade dos valores referentes a itens isolados da planilha de custos  e formação de preços não caracteriza motivo suficiente para a desclassificação da proposta, , desde que não contrariem exigências legais.
9.4 Se houver indícios de inexequibilidade da proposta de preço, ou em caso da necessidade de esclarecimentos complementares, poderá ser efetuada diligência, na forma do § 3° do art. 43 da Lei n° 8.666, de 1993, para efeito de comprovação de sua exequibilidade, podendo ser adotado, dentre outros, os seguintes procedimentos:
questionamentos junto à proponente para a apresentação de justificativas e comprovações em relação aos custos com indícios de inexequibilidade;verificação de Acordos, Convenções ou Dissídios Coletivos de Trabalho;levantamento de informações junto ao Ministério do Trabalho; consultas a entidades ou conselhos de classe, sindicatos ou similares; pesquisas em órgãos públicos ou empresas privadas verificação de outros contratos que o proponente mantenha com a Administração ou com a iniciativa privada;pesquisa de preço com fornecedores dos insumos utilizados, tais como: atacadistas, lojas de suprimentos,supermercados e fabricantes;verificação de notas fiscais dos produtos adquiridos pelo proponente;
levantamento de indicadores salariais ou trabalhistas publicados por órgãos de pesquisa;estudos setoriais;consultas às Fazendas Federal, Distrital, Estadual ou Municipal; eanálise de soluções técnicas escolhidas e/ou condições excepcionalmente favoráveis que o proponente disponha para a prestação dos serviços.
9.5 Qualquer interessado poderá requerer que se realizem diligências para aferir a exequibilidade e a legalidade das propostas, devendo apresentar as provas ou os indícios que fundamentam o pedido;
9.6 Quando o licitante apresentar</t>
        </r>
        <r>
          <rPr>
            <b/>
            <sz val="9"/>
            <color rgb="FF000000"/>
            <rFont val="Tahoma"/>
            <family val="2"/>
            <charset val="1"/>
          </rPr>
          <t>preço final inferior a 30% da média dos preços ofertados</t>
        </r>
        <r>
          <rPr>
            <sz val="9"/>
            <color rgb="FF000000"/>
            <rFont val="Tahoma"/>
            <family val="2"/>
            <charset val="1"/>
          </rPr>
          <t>para o mesmo item, e a inexequibilidade da proposta não for flagrante e evidente pela análise da planilha de custos e formação de preços,</t>
        </r>
        <r>
          <rPr>
            <b/>
            <sz val="9"/>
            <color rgb="FF000000"/>
            <rFont val="Tahoma"/>
            <family val="2"/>
            <charset val="1"/>
          </rPr>
          <t>não sendo possível a sua imediata desclassificaçã</t>
        </r>
        <r>
          <rPr>
            <sz val="9"/>
            <color rgb="FF000000"/>
            <rFont val="Tahoma"/>
            <family val="2"/>
            <charset val="1"/>
          </rPr>
          <t>o, será obrigatória a realização de diligências para aferir a legalidade e exequibilidade da proposta.
________________________________________________________________________________________________________________</t>
        </r>
        <r>
          <rPr>
            <b/>
            <sz val="9"/>
            <color rgb="FF000000"/>
            <rFont val="Tahoma"/>
            <family val="2"/>
            <charset val="1"/>
          </rPr>
          <t>TCU –Acórdão nº 1.214/2013 – Plenário
III.H percentuais mínimos aceitáveis para encargos sociais e ldi</t>
        </r>
        <r>
          <rPr>
            <sz val="9"/>
            <color rgb="FF000000"/>
            <rFont val="Tahoma"/>
            <family val="2"/>
            <charset val="1"/>
          </rPr>
          <t>219. Do mesmo modo, lucro, como se sabe, pode ser maximizado com uma boa gestão de mão de obra, mas não se deve abrir mão de um mínimo aceitável, pois não é crível que prestadores de serviços estejam dispostos a trabalharem de graça para o erário. Não fixar lucro mínimo é um incentivo para que as empresas avancem sobre outras verbas, como direitos trabalhistas, tributos e contribuições compulsórias, como tem sido praxe.
220. Também as despesas administrativas, devem ser objeto de análise pela administração, pois não é razoável que a empresa não possua esse gasto. No entanto, é aceitável que existam justificativas para reduzí-lo ou eliminá-lo, por exemplo, que a empresa administre muitos contratos, ou que se trate de uma empresa familiar, mas para isso a empresa necessite apresenta-las.
_______________________________________________________________________________________________________________</t>
        </r>
        <r>
          <rPr>
            <b/>
            <sz val="9"/>
            <color rgb="FF000000"/>
            <rFont val="Tahoma"/>
            <family val="2"/>
            <charset val="1"/>
          </rPr>
          <t>Mas em outro acordão o TCU definiu que  os % são livres para serem definidos por cada fornecedor:
(Acórdão 325/2007-TCU-Plenário).Não há vedação legalà atuação, por parte de empresas contratadas pela Administração Pública Federal,sem margem de lucro ou com margem de lucro mínima, pois tal fato depende da estratégia comercial da empresa e não conduz, necessariamente, à inexecução da proposta.
___________________________________________________________________________________________________Outro Acórdão que parece trazer certa solução, estabelece que os percentuais mínimos devem ser estabelecidos em Edital.A desclassificação de proposta por inexequibilidade deve ser objetivamente demonstrada, a partir de critérios previamente publicados (Acórdãos 2.528/2012 e 1.092/2013, ambos do Plenário).
Vale destacar que a questão foi abordada no Acórdão nº 1.214/13-Plenário, em sede de representação formulada a partir de trabalho realizado por grupo de estudos, constituído com o objetivo de apresentar proposições de melhorias nos procedimentos relativos à terceirização de serviços continuados na Administração Pública Federal. Um dos problemas apontados naquela ocasião foi justamente a dificuldade enfrentada pela Administração no exame de exequibilidade das propostas, em razão da ausência de parâmetros seguros de análise.
De acordo coma conclusão do grupo, “(…)os editais deveriam consignar expressamente as condições mínimas para que as propostas sejam consideradas exequíveis, proibindo propostas com lucro e despesas administrativas iguais a zero, entre outros, em razão de esse percentual englobar os impostos e contribuições não repercutíveis (IR, CSLL). Registre-se que o grupo não determinou quais seriam as condições mínimas ideais, de modo que deverá ser realizado estudo para determiná-las e, assim, possibilitar a implementação dessa proposta.”________________________________________________________________________________________________________________</t>
        </r>
      </text>
    </comment>
    <comment ref="F109" authorId="0">
      <text>
        <r>
          <rPr>
            <sz val="10"/>
            <color rgb="FF000000"/>
            <rFont val="Arial"/>
            <family val="2"/>
            <charset val="1"/>
          </rPr>
          <t>(Acórdão 325/2007-TCU-Plenário).</t>
        </r>
        <r>
          <rPr>
            <b/>
            <sz val="10"/>
            <color rgb="FF000000"/>
            <rFont val="Arial"/>
            <family val="2"/>
            <charset val="1"/>
          </rPr>
          <t>Não há vedação legal</t>
        </r>
        <r>
          <rPr>
            <sz val="10"/>
            <color rgb="FF000000"/>
            <rFont val="Arial"/>
            <family val="2"/>
            <charset val="1"/>
          </rPr>
          <t>à atuação, por parte de empresas contratadas pela Administração Pública Federal,</t>
        </r>
        <r>
          <rPr>
            <b/>
            <sz val="10"/>
            <color rgb="FF000000"/>
            <rFont val="Arial"/>
            <family val="2"/>
            <charset val="1"/>
          </rPr>
          <t>sem margem de lucro ou com margem de lucro mínima</t>
        </r>
        <r>
          <rPr>
            <sz val="10"/>
            <color rgb="FF000000"/>
            <rFont val="Arial"/>
            <family val="2"/>
            <charset val="1"/>
          </rPr>
          <t>, pois tal fato depende da estratégia comercial da empresa e não conduz, necessariamente, à inexecução da proposta
2. A desclassificação de proposta por inexequibilidade deve ser objetivamente demonstrada, a partir de critérios previamente publicados (Acórdãos 2.528/2012 e 1.092/2013, ambos do Plenário)
------------------------------------------------------------------------------------------------------------------------------------------
Mas em outro acórdão o TCU deliberou o seguinte:
Vale destacar que a questão foi abordada no Acórdão nº 1.214/13-Plenário, em sede de representação formulada a partir de trabalho realizado por grupo de estudos, constituído com o objetivo de apresentar proposições de melhorias nos procedimentos relativos à terceirização de serviços continuados na Administração Pública Federal. Um dos problemas apontados naquela ocasião foi justamente a dificuldade enfrentada pela Administração no exame de exequibilidade das propostas, em razão da ausência de parâmetros seguros de análise.
De acordo coma conclusão do grupo, “(…)</t>
        </r>
        <r>
          <rPr>
            <b/>
            <sz val="10"/>
            <color rgb="FF000000"/>
            <rFont val="Arial"/>
            <family val="2"/>
            <charset val="1"/>
          </rPr>
          <t>os editais deveriam consignar expressamente as condições mínimas para que as propostas sejam consideradas exequíveis, proibindo propostas com lucro e despesas administrativas iguais a zero</t>
        </r>
        <r>
          <rPr>
            <sz val="10"/>
            <color rgb="FF000000"/>
            <rFont val="Arial"/>
            <family val="2"/>
            <charset val="1"/>
          </rPr>
          <t>, entre outros, em razão de esse percentual englobar os impostos e contribuições não repercutíveis (IR, CSLL). Registre-se que o grupo não determinou quais seriam as condições mínimas ideais, de modo que deverá ser realizado estudo para determiná-las e, assim, possibilitar a implementação dessa proposta.”
------------------------------------------------------------------------------------------------------------------------------------------</t>
        </r>
        <r>
          <rPr>
            <b/>
            <sz val="10"/>
            <color rgb="FFFF0000"/>
            <rFont val="Arial"/>
            <family val="2"/>
            <charset val="1"/>
          </rPr>
          <t>Conclusão:
Melhor solução, estabelecer nos Editais com base em estudos percentuais minímos de lucros e custos indiretos</t>
        </r>
      </text>
    </comment>
    <comment ref="G112" authorId="0">
      <text>
        <r>
          <rPr>
            <sz val="10"/>
            <color rgb="FF000000"/>
            <rFont val="Arial"/>
            <family val="2"/>
            <charset val="1"/>
          </rPr>
          <t>Empresas Lucro Presumido:
PIS: 0,65% / COFINS: 3,00%
Empresas Lucro Real:
PIS: 1,65% / COFINS: 7,60%
Para as empresas optantes pelo Simples Nacional, a tributação varia conforme o faturamento mensal.
Soma-se os módulo 1,2,3,4,5, bem como os Custos Indiretos e o Lucro. Em seguida divide-se pelo Fator de Divisão, conforme a tributação aplicada (presumido,real,SIMPLES). Dessa forma, encontra-se o faturamento o qual incidirá a alíquota do PIS (PRESUMIDO).</t>
        </r>
      </text>
    </comment>
    <comment ref="G113" authorId="0">
      <text>
        <r>
          <rPr>
            <sz val="10"/>
            <color rgb="FF000000"/>
            <rFont val="Arial"/>
            <family val="2"/>
            <charset val="1"/>
          </rPr>
          <t>Empresas Lucro Presumido:
PIS: 0,65% / COFINS: 3,00%
Empresas Lucro Real:
PIS: 1,65% / COFINS: 7,60%
Para as empresas optantes pelo Simples Nacional, a tributação varia conforme o faturamento mensal.
Soma-se os módulo 1,2,3,4,5, bem como os Custos Indiretos e o Lucro. Em seguida divide-se pelo Fator de Divisão, conforme a tributação aplicada (presumido,real,SIMPLES). Dessa forma, encontra-se o faturamento o qual incidirá a alíquota do COFINS (PRESUMIDO).</t>
        </r>
      </text>
    </comment>
    <comment ref="G115" authorId="0">
      <text>
        <r>
          <rPr>
            <sz val="10"/>
            <color rgb="FF000000"/>
            <rFont val="Arial"/>
            <family val="2"/>
            <charset val="1"/>
          </rPr>
          <t>SANTOS DUMONT 3% (PODE VARIAR CONFORME MUNICÍPIO)
ALÍQUOTAS  SIMPLES, CONFORME TABELA A SEGUIR:
Antigo Anexo III do Simples Nacional (alterada em 2018)
Receita Bruta em 12 meses (em R$)	Alíquota Total	IRPJ	CSLL	COFINS	PIS	CPP	ISS
De R$ 0,00 a R$ 180.000,00            	6,00%	0,00%	0,00%	0,00%	0,00%	4,00%	2,00%
De R$ 180.000,01 a R$ 360.000,00 	8,21%	0,00%	0,00%	1,42%	0,00%	4,00%	2,79%
De R$ 360.000,01 a R$ 540.000,00 	10,26%	0,48%	0,43%	1,43%	0,35%	4,07%	3,50%
De R$ 540.000,01 a R$ 720.000,00 	11,31%	0,53%	0,53%	1,56%	0,38%	4,47%	3,84%
De R$ 720.000,01 a R$ 900.000,00 	11,40%	0,53%	0,52%	1,58%	0,38%	4,52%	3,87%
De R$ 900.000,01 a R$ 1.080.000,00 	12,42%	0,57%	0,57%	1,73%	0,40%	4,92%	4,23%
De R$ 1.080.000,01 a R$ 1.260.000,00 	12,54%	0,59%	0,56%	1,74%	0,42%	4,97%	4,26%
De R$ 1.260.000,01 a R$ 1.440.000,00 	12,68%	0,59%	0,57%	1,76%	0,42%	5,03%	4,31%
De R$ 1.440.000,01 a R$ 1.620.000,00 	13,55%	0,63%	0,61%	1,88%	0,45%	5,37%	4,61%
De R$ 1.620.000,01 a R$ 1.800.000,00 	13,68%	0,63%	0,64%	1,89%	0,45%	5,42%	4,65%
De R$ 1.800.000,01 a R$ 1.980.000,00 	14,93%	0,69%	0,69%	2,07%	0,50%	5,98%	5,00%
De R$ 1.980.000,01 a R$ 2.160.000,00 	15,06%	0,69%	0,69%	2,09%	0,50%	6,09%	5,00%
De R$ 2.160.000,01 a R$ 2.340.000,00 	15,20%	0,71%	0,70%	2,10%	0,50%	6,19%	5,00%
De R$ 2.340.000,01 a R$ 2.520.000,00 	15,35%	0,71%	0,70%	2,13%	0,51%	6,30%	5,00%
De R$ 2.520.000,01 a R$ 2.700.000,00 	15,48%	0,72%	0,70%	2,15%	0,51%	6,40%	5,00%
De R$ 2.700.000,01 a R$ 2.880.000,00 	16,85%	0,78%	0,76%	2,34%	0,56%	7,41%	5,00%
De R$ 2.880.000,01 a R$ 3.060.000,00 	16,98%	0,78%	0,78%	2,36%	0,56%	7,50%	5,00%
De R$ 3.060.000,01 a R$ 3.240.000,00 	17,13%	0,80%	0,79%	2,37%	0,57%	7,60%	5,00%
De R$ 3.240.000,01 a R$ 3.420.000,00 	17,27%	0,80%	0,79%	2,40%	0,57%	7,71%	5,00%
De R$ 3.420.000,01 a R$ 3.600.000,00 	17,42%	0,81%	0,79%	2,42%	0,57%	7,83%	5,00%</t>
        </r>
        <r>
          <rPr>
            <b/>
            <sz val="10"/>
            <color rgb="FF000000"/>
            <rFont val="Arial"/>
            <family val="2"/>
            <charset val="1"/>
          </rPr>
          <t>É aconselhável buscar auxilio do setor contábil do órgão para aferição dos tributos.</t>
        </r>
      </text>
    </comment>
    <comment ref="B132" authorId="0">
      <text>
        <r>
          <rPr>
            <sz val="10"/>
            <color rgb="FF000000"/>
            <rFont val="Arial"/>
            <family val="2"/>
            <charset val="1"/>
          </rPr>
          <t>Serviços de Limpeza devem usar o Quadro 6 da Planilha modelo da IN  05/2017 ( esta planilha já está configurada na aba por M²).
Serviços de Vigilância devem usar o quadro 5 da  da Planilha modelo da IN  05/2017</t>
        </r>
      </text>
    </comment>
  </commentList>
</comments>
</file>

<file path=xl/comments3.xml><?xml version="1.0" encoding="utf-8"?>
<comments xmlns="http://schemas.openxmlformats.org/spreadsheetml/2006/main">
  <authors>
    <author>Autor</author>
  </authors>
  <commentList>
    <comment ref="A3" authorId="0">
      <text>
        <r>
          <rPr>
            <sz val="10"/>
            <color rgb="FF000000"/>
            <rFont val="Arial"/>
            <family val="2"/>
            <charset val="1"/>
          </rPr>
          <t>ESSAS INFORMAÇÕES DEVEM SER REPASSADAS VIA EMAIL PELO SETOR DE LICITAÇÃO</t>
        </r>
      </text>
    </comment>
    <comment ref="H27" authorId="0">
      <text>
        <r>
          <rPr>
            <sz val="10"/>
            <color rgb="FF000000"/>
            <rFont val="Arial"/>
            <family val="2"/>
            <charset val="1"/>
          </rPr>
          <t>COLOCAR O VALOR DA CCT MAS DEIXAR ABERTO PARA FORNECEDOR ALTERAR “ SÓ PODE SER MAIOR QUE A CCT”</t>
        </r>
      </text>
    </comment>
    <comment ref="B28" authorId="0">
      <text>
        <r>
          <rPr>
            <sz val="10"/>
            <color rgb="FF000000"/>
            <rFont val="Arial"/>
            <family val="2"/>
            <charset val="1"/>
          </rPr>
          <t>Previsto em legislação ou acordo coletivo para trabalhos que impliquem em condições de risco à saúde ou integridade física do trabalhador.
30% sobre o salário base.</t>
        </r>
      </text>
    </comment>
    <comment ref="D28" authorId="0">
      <text>
        <r>
          <rPr>
            <sz val="10"/>
            <color rgb="FF000000"/>
            <rFont val="Arial"/>
            <family val="2"/>
            <charset val="1"/>
          </rPr>
          <t>Selecionar:
*Com Periculosidade
* Sem Periculosidade</t>
        </r>
      </text>
    </comment>
    <comment ref="E28" authorId="0">
      <text>
        <r>
          <rPr>
            <sz val="10"/>
            <color rgb="FF000000"/>
            <rFont val="Arial"/>
            <family val="2"/>
            <charset val="1"/>
          </rPr>
          <t>Selecionar 0% quando não houver Periculosidade e 30% quando incidir</t>
        </r>
      </text>
    </comment>
    <comment ref="B29" authorId="0">
      <text>
        <r>
          <rPr>
            <sz val="10"/>
            <color rgb="FF000000"/>
            <rFont val="Arial"/>
            <family val="2"/>
            <charset val="1"/>
          </rPr>
          <t>O salário de referência para cálculo do seu custo é o salário mínimo estadual ou o nacional ou o salário normativo da categoria se expressamente estabelecido no acordo ou convenção coletiva.
São operações que, por sua natureza, condições ou métodos de trabalho, exponham os empregados a agentes nocivos à saúde, acima dos limites de tolerância fixados em razão da natureza e da intensidade do agente e do tempo de exposição aos seus efeitos. (Art. 189, CLT)
Grau máximo: 40%;
Grau médio: 20%;
Grau mínimo: 10%.</t>
        </r>
      </text>
    </comment>
    <comment ref="B30" authorId="0">
      <text>
        <r>
          <rPr>
            <sz val="10"/>
            <color rgb="FF000000"/>
            <rFont val="Arial"/>
            <family val="2"/>
            <charset val="1"/>
          </rPr>
          <t>Verificar as auterações trazidas pela Reforma Trabalhista – Á principio aguardar as Novas CCT´s
Conferido ao trabalhador por trabalho executado entre as 22 horas de um dia e as 5 horas do dia seguinte.
Remunerado com adicional de, pelo menos, 20% sobre a hora diurna.
Adicional noturno para 1 hora trabalhada = Valor da hora diurna X 20%
Valor da hora diurna = Salário base / Total de horas trabalhadas no mês
O total de horas trabalhadas no mês calcula-se considerando 5 semanas de trabalho, conforme determinação do MTE.
Exemplo:
Salário: R$2.200,00
Valor da hora diurna: 2.200,00 / 220 horas (jornada de 44 horas semanais) = R$10,00
Adicional noturno para 1 hora trabalhada = 10,00 X 20% = R$2,00</t>
        </r>
      </text>
    </comment>
    <comment ref="D30" authorId="0">
      <text>
        <r>
          <rPr>
            <sz val="10"/>
            <color rgb="FF000000"/>
            <rFont val="Arial"/>
            <family val="2"/>
            <charset val="1"/>
          </rPr>
          <t>Selecionar entre:
Mínimo
Médio 
Máximo
Sem Insalubridade</t>
        </r>
      </text>
    </comment>
    <comment ref="E30" authorId="0">
      <text>
        <r>
          <rPr>
            <sz val="10"/>
            <color rgb="FF000000"/>
            <rFont val="Arial"/>
            <family val="2"/>
            <charset val="1"/>
          </rPr>
          <t>Selecionar entre:
0%
10%
20%
40%
E o valor da Insalubridade será calculado sobre o valor da salário</t>
        </r>
      </text>
    </comment>
    <comment ref="F30" authorId="0">
      <text>
        <r>
          <rPr>
            <sz val="10"/>
            <color rgb="FF000000"/>
            <rFont val="Arial"/>
            <family val="2"/>
            <charset val="1"/>
          </rPr>
          <t>Digitar valo do Salário Mínimo ou o da Categoria se expressamente estabelecido em Convenção Coletiva</t>
        </r>
      </text>
    </comment>
    <comment ref="B31" authorId="0">
      <text>
        <r>
          <rPr>
            <sz val="10"/>
            <color rgb="FF000000"/>
            <rFont val="Arial"/>
            <family val="2"/>
            <charset val="1"/>
          </rPr>
          <t>Corresponde a 52 minutos e 30 segundos.
A hora noturna adicional corresponde à diferença da hora noturna menos a hora normal.
Hora noturna = Hora normal X (60/52,5)
Hora noturna = Hora normal X 1,14285714
Exemplo:
Salário: R$2.200,00
Valor da hora diurna: 2.200,00 / 220 horas (jornada de 44 horas semanais) = R$10,00
Hora noturna = 10,00 X 1,14285714 = R$11,42
Hora noturna adicional = Hora noturna – Hora normal
Hora noturna adicional = (11,42 X 20%) - (R$10,00 X 20%) = 2,286 – 2,00 = 0,286</t>
        </r>
      </text>
    </comment>
    <comment ref="H32" authorId="0">
      <text>
        <r>
          <rPr>
            <b/>
            <sz val="9"/>
            <color indexed="81"/>
            <rFont val="Tahoma"/>
            <family val="2"/>
          </rPr>
          <t>UFERSA:O adicional noturno influenciará no repouso semanal remunerado, portando para compensar o descanso semanal decorrente do labor noturno, o empregado também terá reflexo em seu descanso remunerado de adicional noturno.  Em decorrência do valor do posto ser mensal, ou seja de um mês qualquer, os dias úteis, domingos e feriados foram tomados como uma média mensal dentro de um período de um ano (2018). Adotamos como o fator multiplicador de 0,229 , igual à (1/média de dias úteis 2018)xmédia de feriados e domingos em  2018.</t>
        </r>
        <r>
          <rPr>
            <sz val="9"/>
            <color indexed="81"/>
            <rFont val="Tahoma"/>
            <family val="2"/>
          </rPr>
          <t xml:space="preserve">
</t>
        </r>
      </text>
    </comment>
    <comment ref="B34" authorId="0">
      <text>
        <r>
          <rPr>
            <sz val="10"/>
            <color rgb="FF000000"/>
            <rFont val="Arial"/>
            <family val="2"/>
            <charset val="1"/>
          </rPr>
          <t>Relativo ao trabalho realizado além da jornada diária regular estabelecida, com acréscimo de no mínimo 50% do valor da hora normal para trabalho extra (entre segunda e sábado) e de 100% em domingos e feriados.
Não pode ser maior do que 2 horas diárias. (Art. 59, CLT)</t>
        </r>
      </text>
    </comment>
    <comment ref="B40" authorId="0">
      <text>
        <r>
          <rPr>
            <b/>
            <sz val="10"/>
            <color rgb="FF000000"/>
            <rFont val="Arial"/>
            <family val="2"/>
            <charset val="1"/>
          </rPr>
          <t>Cálculo de acordo com o Manual para preenchimento de Planilha do MPOG de 2011</t>
        </r>
        <r>
          <rPr>
            <sz val="10"/>
            <color rgb="FF000000"/>
            <rFont val="Arial"/>
            <family val="2"/>
            <charset val="1"/>
          </rPr>
          <t>Considerando que na duração do contrato de 60 meses o empregado tem 5 meses de férias e labora em 56 meses:
(5/56) x 100 = 8,93%;</t>
        </r>
        <r>
          <rPr>
            <b/>
            <sz val="10"/>
            <color rgb="FF000000"/>
            <rFont val="Arial"/>
            <family val="2"/>
            <charset val="1"/>
          </rPr>
          <t>Cálculo de acordo com o Caderno de Logistica/ Serviços de limpeza  MPOG de 2014</t>
        </r>
        <r>
          <rPr>
            <sz val="10"/>
            <color rgb="FF000000"/>
            <rFont val="Arial"/>
            <family val="2"/>
            <charset val="1"/>
          </rPr>
          <t>Para os contratos de 1 ano (12 meses) o empregado trabalha 12 meses e tem direito a 1 mês de férias, o que significa:
(1/12) x 100 = 8,33%.
Por derradeiro a IN 05/2017, trouxe o seguinte texto
Nota 1: Como a planilha de custos e formação de preços é calculada mensalmente, provisiona-se
proporcionalmente 1/12 (um doze avos) dos valores referentes a gratificação natalina e adicional
de férias.</t>
        </r>
        <r>
          <rPr>
            <b/>
            <sz val="10"/>
            <color rgb="FF000000"/>
            <rFont val="Arial"/>
            <family val="2"/>
            <charset val="1"/>
          </rPr>
          <t>( No meu entendimento definiu que o percentual do 13° é de 8,33% ), 
MAS É NECESSÁRIO ESPERAR SAIR O MANUAL DE PREENCHIMENTO DA PLANILHA, TÃO PROMETIDO PARA  SE BATER O MARTELO, POIS COSTUMA UMA PUBLICAÇÃO NÃO BATER COM A OUTRA, SÓ PARA VARIAR.</t>
        </r>
      </text>
    </comment>
    <comment ref="G40" authorId="0">
      <text>
        <r>
          <rPr>
            <b/>
            <sz val="9"/>
            <color rgb="FF000000"/>
            <rFont val="Tahoma"/>
            <family val="2"/>
            <charset val="1"/>
          </rPr>
          <t>Usuário do Windows:</t>
        </r>
        <r>
          <rPr>
            <sz val="9"/>
            <color rgb="FF000000"/>
            <rFont val="Tahoma"/>
            <family val="2"/>
            <charset val="1"/>
          </rPr>
          <t>8,33% ou 8,93% Ler comentário na descrição do item 13º SALÁRIO ao lado</t>
        </r>
      </text>
    </comment>
    <comment ref="B41" authorId="0">
      <text>
        <r>
          <rPr>
            <sz val="10"/>
            <color rgb="FF000000"/>
            <rFont val="Arial"/>
            <family val="2"/>
            <charset val="1"/>
          </rPr>
          <t>.( Art. 129,Art. 130, inciso I da CLT e Art. 7° , inciso XCII da CF/88 [=(1/12)+(1/3)/12]</t>
        </r>
        <r>
          <rPr>
            <b/>
            <sz val="10"/>
            <color rgb="FF000000"/>
            <rFont val="Arial"/>
            <family val="2"/>
            <charset val="1"/>
          </rPr>
          <t>Quando é retido a conta vinculada o calculo deve ser [</t>
        </r>
        <r>
          <rPr>
            <sz val="10"/>
            <color rgb="FF000000"/>
            <rFont val="Arial"/>
            <family val="2"/>
            <charset val="1"/>
          </rPr>
          <t>=(1/11)+(1/3/11) que dá os 12,10% retidos na conta vinculada (calculo CNJ).
A IN 05/2017, trouxe o seguinte texto com relação ao módulo 2.1
Nota 1: Como a planilha de custos e formação de preços é calculada mensalmente, provisiona-se
proporcionalmente 1/12 (um doze avos) dos valores referentes a gratificação natalina e adicional
de férias.</t>
        </r>
        <r>
          <rPr>
            <b/>
            <sz val="10"/>
            <color rgb="FF000000"/>
            <rFont val="Arial"/>
            <family val="2"/>
            <charset val="1"/>
          </rPr>
          <t>( No meu entendimento definiu que o percentual do 13° é de 8,33% ),</t>
        </r>
        <r>
          <rPr>
            <b/>
            <u/>
            <sz val="10"/>
            <color rgb="FF000000"/>
            <rFont val="Arial"/>
            <family val="2"/>
            <charset val="1"/>
          </rPr>
          <t>MAS É NECESSÁRIO ESPERAR SAIR O MANUAL DE PREENCHIMENTO DA PLANILHA, TÃO PROMETIDO PARA BATER O MARTELO, POIS COSTUMA UMA PUBLICAÇÃO NÃO BATER COM A OUTRA, SÓ PARA VARIAR.</t>
        </r>
        <r>
          <rPr>
            <sz val="10"/>
            <color rgb="FF000000"/>
            <rFont val="Arial"/>
            <family val="2"/>
            <charset val="1"/>
          </rPr>
          <t>Nota 2: O adicional de férias contido no Submódulo 2.1 corresponde a 1/3 (um terço) da
remuneração que por sua vez é divido por 12 (doze) conforme Nota 1 acima.</t>
        </r>
        <r>
          <rPr>
            <b/>
            <sz val="10"/>
            <color rgb="FF000000"/>
            <rFont val="Arial"/>
            <family val="2"/>
            <charset val="1"/>
          </rPr>
          <t>( Desta forma também defini que o percentual das férias seria 1/12 * 1/3 que corresponde a 11,11% , mas na cartilha da conta vinculada lançada em fevereiro de 2018, continua 12,10% para ser retido e pago na conta vinculada referente a provisão de férias e 1/3)</t>
        </r>
        <r>
          <rPr>
            <b/>
            <u/>
            <sz val="10"/>
            <color rgb="FF000000"/>
            <rFont val="Arial"/>
            <family val="2"/>
            <charset val="1"/>
          </rPr>
          <t>PORTANTO SE FAZ NECESSÁRIO CONTINUAR USANDO O CALCULO DO CNJ DE 12,10% EM CONTRATOS QUE UTILIZEM CONTA VINCULADA, POIS COMO PODERIAMOS RETER UM VALOR QUE NÃO ESTÁ PROVISIONADO NA PLANILHA)</t>
        </r>
      </text>
    </comment>
    <comment ref="G41" authorId="0">
      <text>
        <r>
          <rPr>
            <b/>
            <sz val="9"/>
            <color rgb="FF000000"/>
            <rFont val="Tahoma"/>
            <family val="2"/>
            <charset val="1"/>
          </rPr>
          <t>Usuário do Windows:</t>
        </r>
        <r>
          <rPr>
            <sz val="9"/>
            <color rgb="FF000000"/>
            <rFont val="Tahoma"/>
            <family val="2"/>
            <charset val="1"/>
          </rPr>
          <t>11,11% ou 12,10% Ler comentário na descrição do item FÉRIAS ao lado</t>
        </r>
      </text>
    </comment>
    <comment ref="B45" authorId="0">
      <text>
        <r>
          <rPr>
            <sz val="10"/>
            <color rgb="FF000000"/>
            <rFont val="Arial"/>
            <family val="2"/>
            <charset val="1"/>
          </rPr>
          <t>Contribuição de 20% sobre o total das remunerações destinada à Seguridade Social, conforme determina a Lei 8.212/91.</t>
        </r>
      </text>
    </comment>
    <comment ref="B46" authorId="0">
      <text>
        <r>
          <rPr>
            <sz val="10"/>
            <color rgb="FF000000"/>
            <rFont val="Arial"/>
            <family val="2"/>
            <charset val="1"/>
          </rPr>
          <t>Contribuições sociais destinadas ao Serviço Social da Indústria (SESI) e ao Serviço Social do Comércio (SESC). As empresas optantes pelo Simples Nacional são isentas. Para as demais empresas fica determinado o percentual de 1,5%.</t>
        </r>
      </text>
    </comment>
    <comment ref="D46" authorId="0">
      <text>
        <r>
          <rPr>
            <sz val="10"/>
            <color rgb="FF000000"/>
            <rFont val="Arial"/>
            <family val="2"/>
            <charset val="1"/>
          </rPr>
          <t>Usuário do Windows:
EMPRESAS OPTATANTES PELO SIMPLES ESTÃO ISENTAS DO PAGAMENTO DAS SEGUINTES CONTRIBUIÇÕES:  SESI ou SESC, SENAI ou SENAC, INCRA, Salário-Educação, SEBRAE, Portanto devem ser zeradas na Planilha.
Empresas de sessão de mão de obra não podem ser optantes pelo Simples com excessão das empresas que prestam serviços de serviços de vigilância, limpeza ou conservação desde que não exerçam em conjunto com outras atividades vedadas,c) Regime de Tributação – SIMPLES –Regime Especial Unificado de Arrecadação de Tributos e Contribuições – Microempresas (MEs) e Empresas de Pequeno Porte (EPPs) O SIMPLES consiste em um regime especial unificado de arrecadação de Tributos e Contribuições devidos pelas Microempresas e Empresas de Pequeno Porte, instituído pela Lei Complementar nº 123, de 14 de dezembro de 2006. Lembramos ainda que as microempresas e empresas de pequeno porte optantes pelo Simples Nacional ficam dispensadas do pagamento das demais contribuições instituídas pela União, tais como SESI ou SESC, SENAI ou SENAC, INCRA, Salário-Educação, SEBRAE, conforme expressa previsão legal contida no art. 13, § 3º da Lei Complementar nº 123/2006: § 3º  As microempresas e empresas de pequeno porte optantes pelo Simples Nacional ficam dispensadas do pagamento das demais contribuições instituídas pela União, inclusive as contribuições para as entidades privadas de serviço social e de formação profissional vinculadas ao sistema sindical, de que trata o art. 240 da Constituição Federal, e demais entidades de serviço social autônomo. Nem todas as microempresas ou empresas de pequeno porte poderão recolher os impostos e contribuições na forma do Simples, como por exemplo, as empresas que exercem atividade de cessão ou locação de mão de obra8. As vedações ao ingresso no Simples Nacional estão previstas no art. 17 da Lei Complementar nº 123/2006. 
8 Entende-se por cessão de mão de obra a colocação à disposição da empresa contratante, em suas dependências ou nas de terceiros, de trabalhadores que realizem serviços contínuos, relacionados ou não com sua atividade fim, quaisquer que sejam a natureza e a forma de contratação, inclusive por meio de trabalho temporário na forma da Lei nº 6.019, de 3 de janeiro de 1974. (art.115 Instrução Normativa RFB nº 971, de 13 de novembro de 2009)
117
CAPÍTULO VI – COMPOSIÇÃO DA PLANILHA DE CUSTO E FORMAÇÃO DE PREÇO 
Art. 17. Não poderão recolher os impostos e contribuições na forma do Simples Nacional a microempresa ou a empresa de pequeno porte: (...) XII – que realize cessão ou locação de mão de obra; É importante ressaltar que as vedações previstas no caput do art. 17 da LC nº 123/2006 não se aplicam às pessoas jurídicas que se dediquem exclusivamente às atividades referidas nos §§ 5o-B a 5o-E do art. 18 da Lei Complementar multicitada, ou as exerçam em conjunto com outras atividades que não tenham sido objeto de vedação no mesmo caput. Não se incluem nas vedações, por exemplo, as empresas que prestam serviços de vigilância, limpeza ou conservação desde que não exerçam em conjunto com outras atividades vedadas.
LC 123/2006 – §§ 5o-B a 5o-E do art. 18 da Lei Complementar nº 123/2006 § 5º-H.  A vedação de que trata o inciso XII do caput do art. 17 desta Lei Complementar não se aplica às atividades referidas no § 5º-C deste artigo. (Incluído pela Lei Complementar nº 128, de 2008) § 5º-C.  Sem prejuízo do disposto no § 1º do art. 17 desta Lei Complementar, as atividades de prestação de serviços seguintes serão tributadas na forma do Anexo IV desta Lei Complementar, hipótese em que não estará incluída no Simples Nacional a contribuição prevista no inciso VI do caput do art. 13 desta Lei Complementar, devendo ela ser recolhida segundo a legislação prevista para os demais contribuintes ou responsáveis: (Incluído pela Lei Complementar nº 128, de 2008) (...) VI – serviço de vigilância, limpeza ou conservação. (Incluído pela Lei Complementar nº 128, de 2008)</t>
        </r>
      </text>
    </comment>
    <comment ref="G46" authorId="0">
      <text>
        <r>
          <rPr>
            <sz val="9"/>
            <color rgb="FF000000"/>
            <rFont val="Tahoma"/>
            <family val="2"/>
            <charset val="1"/>
          </rPr>
          <t>Zerar se for optante pelo simples</t>
        </r>
      </text>
    </comment>
    <comment ref="B47" authorId="0">
      <text>
        <r>
          <rPr>
            <sz val="10"/>
            <color rgb="FF000000"/>
            <rFont val="Arial"/>
            <family val="2"/>
            <charset val="1"/>
          </rPr>
          <t>Contribuição ao Serviço Nacional de Aprendizagem Industrial (SENAI) e ao Serviço Nacional de Aprendizagem Comercial (SENAC). As empresas optantes pelo Simples Nacional são isentas. Para as demais empresas com menos de 500 empregados a incidência é de 1% e para as empresas com mais de 500 empregados a incidência é de 1,2%.</t>
        </r>
      </text>
    </comment>
    <comment ref="G47" authorId="0">
      <text>
        <r>
          <rPr>
            <b/>
            <sz val="9"/>
            <color rgb="FF000000"/>
            <rFont val="Tahoma"/>
            <family val="2"/>
            <charset val="1"/>
          </rPr>
          <t>Usuário do Windo</t>
        </r>
        <r>
          <rPr>
            <sz val="9"/>
            <color rgb="FF000000"/>
            <rFont val="Tahoma"/>
            <family val="2"/>
            <charset val="1"/>
          </rPr>
          <t>Zerar se for optante pelo simples</t>
        </r>
      </text>
    </comment>
    <comment ref="B48" authorId="0">
      <text>
        <r>
          <rPr>
            <sz val="10"/>
            <color rgb="FF000000"/>
            <rFont val="Arial"/>
            <family val="2"/>
            <charset val="1"/>
          </rPr>
          <t>Contribuição ao Instituto Nacional de Colonização e Reforma Agrária. As empresas optantes pelo Simples Nacional são isentas e as demais empresas pagam um percentual de 0,2%.</t>
        </r>
      </text>
    </comment>
    <comment ref="G48" authorId="0">
      <text>
        <r>
          <rPr>
            <b/>
            <sz val="9"/>
            <color rgb="FF000000"/>
            <rFont val="Tahoma"/>
            <family val="2"/>
            <charset val="1"/>
          </rPr>
          <t>Usuário do Windows:</t>
        </r>
        <r>
          <rPr>
            <sz val="9"/>
            <color rgb="FF000000"/>
            <rFont val="Tahoma"/>
            <family val="2"/>
            <charset val="1"/>
          </rPr>
          <t>Zerar se for optante pelo simples</t>
        </r>
      </text>
    </comment>
    <comment ref="B49" authorId="0">
      <text>
        <r>
          <rPr>
            <sz val="10"/>
            <color rgb="FF000000"/>
            <rFont val="Arial"/>
            <family val="2"/>
            <charset val="1"/>
          </rPr>
          <t>Contribuição social destinada ao financiamento da educação básica nos termos da Constituição Federal à base de 2,5%. As empresas optantes pelo Simples Nacional são isentas.</t>
        </r>
      </text>
    </comment>
    <comment ref="G49" authorId="0">
      <text>
        <r>
          <rPr>
            <b/>
            <sz val="9"/>
            <color rgb="FF000000"/>
            <rFont val="Tahoma"/>
            <family val="2"/>
            <charset val="1"/>
          </rPr>
          <t>Usuário do Windows:</t>
        </r>
        <r>
          <rPr>
            <sz val="9"/>
            <color rgb="FF000000"/>
            <rFont val="Tahoma"/>
            <family val="2"/>
            <charset val="1"/>
          </rPr>
          <t>Zerar se for optante pelo simples</t>
        </r>
      </text>
    </comment>
    <comment ref="B50" authorId="0">
      <text>
        <r>
          <rPr>
            <sz val="10"/>
            <color rgb="FF000000"/>
            <rFont val="Arial"/>
            <family val="2"/>
            <charset val="1"/>
          </rPr>
          <t>O Fundo de Garantia do Tempo de Serviço (FGTS) constitui-se em um pecúlio disponibilizado quando da aposentadoria ou morte do trabalhador e representa uma garantia para a indenização do tempo de serviço nos casos de demissão imotivada. É garantido pela Constituição Federal à base de 8%.</t>
        </r>
      </text>
    </comment>
    <comment ref="B51" authorId="0">
      <text>
        <r>
          <rPr>
            <sz val="10"/>
            <color rgb="FF000000"/>
            <rFont val="Arial"/>
            <family val="2"/>
            <charset val="1"/>
          </rPr>
          <t>Contribuição destinada a custear benefícios concedidos em razão do grau de incidência de incapacidade laborativa decorrentes dos riscos ambientais do trabalho. Pode ser estabelecido em:
SEG.ACID.TRAB. FAP X RAT ( Art. 22,II, da Lei n° 8.212/91).Alíquotas do SAT em função do FAP(Decreto n° 6.042/07 e n° 6.957/09).Fap(Anexo da RESOLUÇÃO mps/cnps n° 1.316/10)=alíquota do FAPx perc. Do SAT
Esses Perecentuais devem ser conferidos pelo pregoeiro e equipe de apoio, com base na GFIP
1% quando o risco de acidentes do trabalho for considerado leve.
2% quando o risco de acidentes do trabalho for considerado médio.
3% quando o risco de acidentes do trabalho for considerado grave.</t>
        </r>
      </text>
    </comment>
    <comment ref="G51" authorId="0">
      <text>
        <r>
          <rPr>
            <b/>
            <sz val="9"/>
            <color rgb="FF000000"/>
            <rFont val="Tahoma"/>
            <family val="2"/>
            <charset val="1"/>
          </rPr>
          <t>Usuário do Windows:</t>
        </r>
        <r>
          <rPr>
            <sz val="9"/>
            <color rgb="FF000000"/>
            <rFont val="Tahoma"/>
            <family val="2"/>
            <charset val="1"/>
          </rPr>
          <t>JURISPRUDÊNCIA - TCU (Acórdão  2.554/2010 - Primeira Câmara) 
7. Com relação aos itens de custo não cotados ou cotados a menor pela empresa vencedora do certame (como o “Seguro de Acidente de Trabalho”, a “Assistência Social Familiar Sindical”, a “Assistência Social” e os benefícios indiretos concedidos pelas empresas aos empregados),</t>
        </r>
        <r>
          <rPr>
            <b/>
            <sz val="9"/>
            <color rgb="FF000000"/>
            <rFont val="Tahoma"/>
            <family val="2"/>
            <charset val="1"/>
          </rPr>
          <t>não chegam a invalidar a proposta da licitante, mas devem ser objeto de acompanhamento pelo CBPF,</t>
        </r>
        <r>
          <rPr>
            <sz val="9"/>
            <color rgb="FF000000"/>
            <rFont val="Tahoma"/>
            <family val="2"/>
            <charset val="1"/>
          </rPr>
          <t>com a verificação do cumprimento, pela contratada, de suas obrigações trabalhistas em conformidade com a legislação, de forma a resguardar a Administração de eventual responsabilização solidária</t>
        </r>
        <r>
          <rPr>
            <b/>
            <sz val="9"/>
            <color rgb="FF000000"/>
            <rFont val="Tahoma"/>
            <family val="2"/>
            <charset val="1"/>
          </rPr>
          <t>, não podendo essas obrigações importar em eventual acréscimo contratual, considerando que a empresa tem o dever de honrar sua proposta na licitação,</t>
        </r>
        <r>
          <rPr>
            <sz val="9"/>
            <color rgb="FF000000"/>
            <rFont val="Tahoma"/>
            <family val="2"/>
            <charset val="1"/>
          </rPr>
          <t>prestando os serviços contratados pelo preço acordado entre as partes</t>
        </r>
      </text>
    </comment>
    <comment ref="B52" authorId="0">
      <text>
        <r>
          <rPr>
            <sz val="10"/>
            <color rgb="FF000000"/>
            <rFont val="Arial"/>
            <family val="2"/>
            <charset val="1"/>
          </rPr>
          <t>Contribuição social repassada ao Serviço Brasileiro de Apoio à Pequena e Média Empresa (SEBRAE), destinado a custear os programas de apoio à pequena e média empresa à base de 0,6%. As empresas optantes pelo Simples Nacional são isentas.</t>
        </r>
      </text>
    </comment>
    <comment ref="G52" authorId="0">
      <text>
        <r>
          <rPr>
            <b/>
            <sz val="9"/>
            <color rgb="FF000000"/>
            <rFont val="Tahoma"/>
            <family val="2"/>
            <charset val="1"/>
          </rPr>
          <t>Usuário do Windows:</t>
        </r>
        <r>
          <rPr>
            <sz val="9"/>
            <color rgb="FF000000"/>
            <rFont val="Tahoma"/>
            <family val="2"/>
            <charset val="1"/>
          </rPr>
          <t>Zerar se for optante pelo simples</t>
        </r>
      </text>
    </comment>
    <comment ref="G59" authorId="0">
      <text>
        <r>
          <rPr>
            <sz val="10"/>
            <color rgb="FF000000"/>
            <rFont val="Arial"/>
            <family val="2"/>
            <charset val="1"/>
          </rPr>
          <t>Pode variar conforme CCT. Sempre verificar.</t>
        </r>
      </text>
    </comment>
    <comment ref="B73" authorId="0">
      <text>
        <r>
          <rPr>
            <b/>
            <sz val="9"/>
            <color rgb="FF000000"/>
            <rFont val="Tahoma"/>
            <family val="2"/>
            <charset val="1"/>
          </rPr>
          <t>Usuário do Windows:</t>
        </r>
        <r>
          <rPr>
            <sz val="9"/>
            <color rgb="FF000000"/>
            <rFont val="Tahoma"/>
            <family val="2"/>
            <charset val="1"/>
          </rPr>
          <t>FUNDAMENTAÇÃO LEGAL - Constituição Federal de 1988 (Art. 7°, inciso XXI) - CLT (Art. 477, art. 487 a 491) - Observação (1) - Aviso Prévio Indenizado – Estudos CNJ – Resolução 98/2009  Aviso Prévio indenizado - 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término do contrato de trabalho. Cálculo ((1/12)x 0,05) x 100 =0,42%.</t>
        </r>
      </text>
    </comment>
    <comment ref="B74" authorId="0">
      <text>
        <r>
          <rPr>
            <b/>
            <sz val="9"/>
            <color rgb="FF000000"/>
            <rFont val="Tahoma"/>
            <family val="2"/>
            <charset val="1"/>
          </rPr>
          <t>Usuário do Windows:</t>
        </r>
        <r>
          <rPr>
            <sz val="9"/>
            <color rgb="FF000000"/>
            <rFont val="Tahoma"/>
            <family val="2"/>
            <charset val="1"/>
          </rPr>
          <t>aplicar o percentual do FGTS sobre o Aviso Prévio Indenizado.</t>
        </r>
        <r>
          <rPr>
            <b/>
            <sz val="9"/>
            <color rgb="FF000000"/>
            <rFont val="Tahoma"/>
            <family val="2"/>
            <charset val="1"/>
          </rPr>
          <t>Ex 8% X 0,42% = 0,03%</t>
        </r>
      </text>
    </comment>
    <comment ref="B75" authorId="0">
      <text>
        <r>
          <rPr>
            <b/>
            <sz val="9"/>
            <color rgb="FF000000"/>
            <rFont val="Tahoma"/>
            <family val="2"/>
            <charset val="1"/>
          </rPr>
          <t>Usuário do Windows:</t>
        </r>
        <r>
          <rPr>
            <sz val="9"/>
            <color rgb="FF000000"/>
            <rFont val="Tahoma"/>
            <family val="2"/>
            <charset val="1"/>
          </rPr>
          <t>FUNDAMENTAÇÃO LEGAL - Jurisprudência - TCU (Acórdão 2.217/2010 – Plenário - vide apêndice pág. 52)
49 Multa do FGTS do aviso prévio indenizado: valor da multa do FGTS indenizado (40%) + contribuição social sobre o FGTS (10%), que incide sobre a alíquota do FGTS (8%) aplicado sobre o custo de referência do aviso prévio indenizado.
 FUNDAMENTAÇÃO LEGAL - Lei nº 8.036, de 11 de maio de 1990 (Art. 18 § 1º) com redação dada pela Lei nº 9.491, de 9 de setembro de 1997. - Lei Complementar nº 110, de 29 de junho de 2001. (Art. 1°) - Observação (2) - Aviso Prévio Indenizado – Estudos CNJ – Resolução 98/2009 Multa FGTS - Rescisão sem Justa Causa: A Lei Complementar nº 110, de 29 de junho de 2001, determina multa de 50%, da soma dos depósitos do FGTS, no caso de rescisão sem justa causa. Considerando que 10% dos empregados pedem contas, essa penalidade recai sobre os 90% remanescentes. Considerando o pagamento da multa para os valores depositados relativos a salários, férias e 13º salário o cálculo dessa provisão corresponde a: 0,08 x 0,5 x 0,9 x (1 + 5/56 + 5/56 + 1/3 * 5/56) = 4,35%.</t>
        </r>
      </text>
    </comment>
    <comment ref="G75" authorId="0">
      <text>
        <r>
          <rPr>
            <b/>
            <sz val="10"/>
            <color rgb="FF000000"/>
            <rFont val="Arial"/>
            <family val="2"/>
            <charset val="1"/>
          </rPr>
          <t>1°- Não havendo conta vinculada o valor de referência estabelecido no Manual de preenchimento de planilhas do MPOG é de 4,35% APT+API.
FUNDAMENTAÇÃO LEGAL -</t>
        </r>
        <r>
          <rPr>
            <sz val="10"/>
            <color rgb="FF000000"/>
            <rFont val="Arial"/>
            <family val="2"/>
            <charset val="1"/>
          </rPr>
          <t>Lei nº 8.036, de 11 de maio de 1990 (Art. 18 § 1º) com redação dada pela Lei nº 9.491, de 9 de setembro de 1997. - Lei Complementar nº 110, de 29 de junho de 2001. (Art. 1°) -Aviso Prévio Indenizado – Estudos CNJ – Resolução 98/2009 Multa FGTS - Rescisão sem Justa Causa: A Lei Complementar nº 110, de 29 de junho de 2001, determina multa de 50%, da soma dos depósitos do FGTS, no caso de rescisão sem justa causa. Considerando que 10% dos empregados pedem contas, essa penalidade recai sobre os 90% remanescentes.Considerando o pagamento da multa para os valores depositados relativos a salários, férias e 13º salário o cálculo dessa provisão corresponde a: 0,08 x 0,5 x 0,9 x (1 + 5/56 + 5/56 + 1/3 * 5/56) = 4,35%.Onde 0,08 Corresponde ao % dop FGTS;  0,5 é os 50% da multa FGTS ; 0,9 corresponde é o percentual de funcionários que são demitidos sem justa causa;( 1 representa uma remuneração; 5/56 representa 5 meses de férias que um funcionário dentro de um periodo de 56 meses este raciocionio vale para férias e 13° e por fim 1/3 de 5/56 que é um terço constitucional de féria).
---------------------------------------------------------------------------------------------------------------------
2° Quando for exigido conta vinculada :Conforme orientações do MPOG, Quando houver conta vinculada, tanto para o Aviso Prévio Trabalhado quanto para o Aviso Prévio Indenizado, a porcentagem que irá incidir é de 5% soma dos dois avisos (API+APT) sobre o custo de referência.
E também foi orientado que está correto o raciocínio de ponderar os 5% entre o API e o APT, não precisando ser exatamente 50% pra cada. Isso dependerá das características intrínsecas de cada empresa e tipo de serviço, podendo ser definido pelo fornecedor desde que os 2 itens fechem em 5% no caso de ter conta vinculada.</t>
        </r>
      </text>
    </comment>
    <comment ref="B76" authorId="0">
      <text>
        <r>
          <rPr>
            <b/>
            <sz val="9"/>
            <color rgb="FF000000"/>
            <rFont val="Tahoma"/>
            <family val="2"/>
            <charset val="1"/>
          </rPr>
          <t>Usuário do Windows:</t>
        </r>
        <r>
          <rPr>
            <sz val="9"/>
            <color rgb="FF000000"/>
            <rFont val="Tahoma"/>
            <family val="2"/>
            <charset val="1"/>
          </rPr>
          <t>[(1 salário integral / 30 dias) x 7 dias] / 12 meses = 1,94% é o índice.Acórdão 1186/2017 Plenário (Auditoria, Relator Ministro-Substituto Augusto Sherman)
Licitação. Orçamento estimativo. Encargos sociais. Aviso prévio. Terceirização. Limite máximo. Prorrogação de contrato.
Nas licitações para contratação de mão de obra terceirizada, a Administração deve estabelecer na minuta do contrato que a parcela mensal a título de aviso prévio trabalhado será no percentualmáximo de 1,94% no primeiro ano, e, em caso de prorrogação do contrato, o percentual máximo dessa parcela será de0,194% a cada ano de prorrogação, a ser incluído por ocasião da formulação do aditivo da prorrogação do contrato, conforme a Lei 12.506/2011.</t>
        </r>
      </text>
    </comment>
    <comment ref="G82" authorId="0">
      <text>
        <r>
          <rPr>
            <sz val="10"/>
            <color rgb="FF000000"/>
            <rFont val="Arial"/>
            <family val="2"/>
            <charset val="1"/>
          </rPr>
          <t>Opnião Edilson:
A IN 05/2017, trouxe uma novidade com relação as férias, antes tinhamos calculado separado neste campo o %  das férias e em outro campo o % do (1/3) terço constitucional que no cálculo do CNJ seria 12,10%.
Mas  agora  a IN 05/2017, trouxe no submódulo 2.1 as férias e o 1/3 juntos, e repetiu o item  férias mais uma vez no Módulo 4 - como Custo de Reposição do Profissional Ausente.
Tenho visto alguns colocarem novamente o percentual de 12,10% ou 11,11%, o que no meu ponto está redondamente errado.
 O Texto da IN 05/2017 trouxe o seguinte texto:
Nota: As alíneas “A” a “F” referem-se somente ao custo que será pago ao repositor pelos dias
trabalhados</t>
        </r>
        <r>
          <rPr>
            <b/>
            <u/>
            <sz val="10"/>
            <color rgb="FF000000"/>
            <rFont val="Arial"/>
            <family val="2"/>
            <charset val="1"/>
          </rPr>
          <t>quando da necessidade de substituir</t>
        </r>
        <r>
          <rPr>
            <sz val="10"/>
            <color rgb="FF000000"/>
            <rFont val="Arial"/>
            <family val="2"/>
            <charset val="1"/>
          </rPr>
          <t>a mão de obra alocada na prestação do serviço.
Com base neste texto, até que saia o manual de preenchimento da planilha existem 2 opções:
1° Deixar em Branco: já que é novo e o valor é irrisório.
2° Calcular o percentual das férias+1 /3  + 13° salário e dividir por 12 e os seus reflexos que já seram automaticamente cáculados na letra F ( incidencia submodulo 2.1).</t>
        </r>
      </text>
    </comment>
    <comment ref="F83" authorId="0">
      <text>
        <r>
          <rPr>
            <b/>
            <sz val="9"/>
            <color rgb="FF000000"/>
            <rFont val="Tahoma"/>
            <family val="2"/>
            <charset val="1"/>
          </rPr>
          <t>Usuário do Windows:
CUSTO NÃO RENOVÁVEL :</t>
        </r>
        <r>
          <rPr>
            <sz val="9"/>
            <color rgb="FF000000"/>
            <rFont val="Tahoma"/>
            <family val="2"/>
            <charset val="1"/>
          </rPr>
          <t>VALE LEMBRAR QUE POR OCASIÃO DAS PRORROGAÇÕES DEVE SE VERIFICAR SE ESSE VALOR PROVISIONADO FOI UTILIZADO, SE NÃO FOR OU FOR UTILIZADO EM PARTES, DEVE SER RETIRADO OU COLOCADO PROPORCIONALMENTE O % UTILIZADO.</t>
        </r>
        <r>
          <rPr>
            <b/>
            <sz val="9"/>
            <color rgb="FF000000"/>
            <rFont val="Tahoma"/>
            <family val="2"/>
            <charset val="1"/>
          </rPr>
          <t>(O RACIOCÍNIO VALE PARA TODOS OS ITENS DESTA TABELA DO SUBMÓDULO 4.1)</t>
        </r>
      </text>
    </comment>
    <comment ref="G83" authorId="0">
      <text>
        <r>
          <rPr>
            <sz val="10"/>
            <color rgb="FF000000"/>
            <rFont val="Arial"/>
            <family val="2"/>
            <charset val="1"/>
          </rPr>
          <t>Ausências previstas na legislação vigente que é composta por um conjunto de casos em que o funcionário pode se ausentar sem perda da remuneração.
Considerando que o empregado tenha apenas uma falta legal durante o período de 1 ano, temos:
Cálculo:
1/360 = 0,002777 = 0,27%
Esse valor pode variar conforme dados estatísticos da empresa.</t>
        </r>
      </text>
    </comment>
    <comment ref="G84" authorId="0">
      <text>
        <r>
          <rPr>
            <sz val="10"/>
            <color rgb="FF000000"/>
            <rFont val="Arial"/>
            <family val="2"/>
            <charset val="1"/>
          </rPr>
          <t>Concede ao empregado o direito de ausentar-se do serviço por cinco dias quando do nascimento de filho. De acordo com o IBGE, nascem filhos de 1,5% dos trabalhadores no período de um ano. Dessa forma a provisão para este item corresponde a:
((5/30)/12) x 0,015 x 100 = 0,02%
Esse valor pode variar conforme dados estatísticos da empresa.</t>
        </r>
      </text>
    </comment>
    <comment ref="F85" authorId="0">
      <text>
        <r>
          <rPr>
            <b/>
            <sz val="9"/>
            <color indexed="81"/>
            <rFont val="Tahoma"/>
            <family val="2"/>
          </rPr>
          <t>UFERSA:</t>
        </r>
        <r>
          <rPr>
            <sz val="9"/>
            <color indexed="81"/>
            <rFont val="Tahoma"/>
            <family val="2"/>
          </rPr>
          <t xml:space="preserve">
O auxílio-acidente é o afastamento por mais de 15 dias do trabalho em
virtude de acidentes no exercício da atividade profissional, ou doenças adquiridas ou desencadeadas pelo exercício do trabalho ou das condições em que este é realizado e com ele se relacione diretamente. O custo estimado nessa rubrica corresponde apenas aos primeiros 15 dias, o qual é obrigação da empresa a cobertura do mesmo, sendo após 15 dias, o benefício será coberto pela Previdência Social. O percentual de 0,06% é igual ao número de dias cobertos pela empresa em um mês dentro de um ano multiplicado por 1,33%  conforme  Anuário Estatístico de Acidentes do Trabalho-2016(AEAT/INSS2016)(http://sa.previdencia.gov.br/site/2018/04/AEAT-2016.pdf). 
</t>
        </r>
      </text>
    </comment>
    <comment ref="G85" authorId="0">
      <text>
        <r>
          <rPr>
            <sz val="10"/>
            <color rgb="FF000000"/>
            <rFont val="Arial"/>
            <family val="2"/>
            <charset val="1"/>
          </rPr>
          <t>Valor do custo referente aos 15 primeiros dias em que o empregado encontra-se afastado por acidente de trabalho e a empresa contratada tem o dever de remunerá-lo. Após esse período o ônus passa a ser do INSS. De acordo com os números mais recentes apresentados pelo Ministério da Previdência e Assistência Social, baseados em informações prestadas pelos empregadores, por meio de GFIP, 0,78% dos empregados se acidentam no ano. Assim, a provisão corresponde a:
((15/30)/12) x 0,0078 x 100 = 0,03%
Esse valor pode variar conforme dados estatísticos da empresa.</t>
        </r>
      </text>
    </comment>
    <comment ref="B87" authorId="0">
      <text>
        <r>
          <rPr>
            <b/>
            <sz val="9"/>
            <color rgb="FF000000"/>
            <rFont val="Tahoma"/>
            <family val="2"/>
            <charset val="1"/>
          </rPr>
          <t>Usuário do Windows:</t>
        </r>
        <r>
          <rPr>
            <sz val="9"/>
            <color rgb="FF000000"/>
            <rFont val="Tahoma"/>
            <family val="2"/>
            <charset val="1"/>
          </rPr>
          <t>Esse item (Ausência por doença), foi exlcuido do modelo de tabela da IN05/2017, mas não foi dito o motivo, nem mesmo se deveria ser computado por exemplo com o item Ausências Legais,</t>
        </r>
        <r>
          <rPr>
            <b/>
            <sz val="9"/>
            <color rgb="FF000000"/>
            <rFont val="Tahoma"/>
            <family val="2"/>
            <charset val="1"/>
          </rPr>
          <t>enquanto não sai o manual de prenchimento de planilha</t>
        </r>
        <r>
          <rPr>
            <sz val="9"/>
            <color rgb="FF000000"/>
            <rFont val="Tahoma"/>
            <family val="2"/>
            <charset val="1"/>
          </rPr>
          <t>prometido pelo Ministério do Planejamento acho prudente continuar usando o percentual por se tratar do mais impactante na planilha de custos.</t>
        </r>
      </text>
    </comment>
    <comment ref="G87" authorId="0">
      <text>
        <r>
          <rPr>
            <sz val="10"/>
            <color rgb="FF000000"/>
            <rFont val="Arial"/>
            <family val="2"/>
            <charset val="1"/>
          </rPr>
          <t>Esta parcela refere-se aos dias em que o empregado fica doente e a contratada deve providenciar sua substituição. Entendemos que deva ser adotado 5,96 dias, conforme consta no memorial de cálculo encaminhado pelo MP, devendo-se converter esses dias em mês e depois dividi-lo pelo número de meses no ano. (Acórdão 1753/2008 – Plenário TCU)
Cálculo:
(5,96/30)/12 x 100 = 1,66%;
Esse valor pode variar conforme dados estatísticos da empresa.</t>
        </r>
      </text>
    </comment>
    <comment ref="B93" authorId="0">
      <text>
        <r>
          <rPr>
            <b/>
            <sz val="9"/>
            <color rgb="FF000000"/>
            <rFont val="Tahoma"/>
            <family val="2"/>
            <charset val="1"/>
          </rPr>
          <t>Usuário do Windows:</t>
        </r>
        <r>
          <rPr>
            <sz val="9"/>
            <color rgb="FF000000"/>
            <rFont val="Tahoma"/>
            <family val="2"/>
            <charset val="1"/>
          </rPr>
          <t>Texto extraído da IN 05/2017 
Nota: Quando houver a necessidade de reposição de um empregado durante sua ausência nos casos de intervalo para repouso ou alimentação deve-se contemplar o Submódulo 4.2.</t>
        </r>
      </text>
    </comment>
    <comment ref="B107" authorId="0">
      <text>
        <r>
          <rPr>
            <b/>
            <sz val="9"/>
            <color rgb="FF000000"/>
            <rFont val="Tahoma"/>
            <family val="2"/>
            <charset val="1"/>
          </rPr>
          <t>Usuário do Windows:</t>
        </r>
        <r>
          <rPr>
            <sz val="9"/>
            <color rgb="FF000000"/>
            <rFont val="Tahoma"/>
            <family val="2"/>
            <charset val="1"/>
          </rPr>
          <t> Definição
Correspondem aos dispêndios relativos aos custos indiretos, tributos e lucros. Na metodologia de cálculo dos valores limites é denominado CITL.</t>
        </r>
      </text>
    </comment>
    <comment ref="F108" authorId="0">
      <text>
        <r>
          <rPr>
            <b/>
            <sz val="9"/>
            <color rgb="FF000000"/>
            <rFont val="Tahoma"/>
            <family val="2"/>
            <charset val="1"/>
          </rPr>
          <t>Usuário do Windows:
Texto extraído do Manual de preenchimento de Planilha MPOG 2011</t>
        </r>
        <r>
          <rPr>
            <sz val="9"/>
            <color rgb="FF000000"/>
            <rFont val="Tahoma"/>
            <family val="2"/>
            <charset val="1"/>
          </rPr>
          <t>Nota Explicativa: 
Custos indiretos: são os gastos da contratada com sua estrutura administrativa, organizacional e gerenciamento de seus contratos, tais como as despesas relativas a: a) funcionamento e manutenção da sede, tais como aluguel, água, luz, telefone, o Imposto Predial Territorial Urbano – IPTU, dentre outros; b) pessoal administrativo; c) material e equipamentos de escritório; d) supervisão de serviços;  e) seguros.
 -</t>
        </r>
        <r>
          <rPr>
            <b/>
            <sz val="9"/>
            <color rgb="FF000000"/>
            <rFont val="Tahoma"/>
            <family val="2"/>
            <charset val="1"/>
          </rPr>
          <t>Observação (1) -  No cálculo dos valores limites para os serviços de vigilância e limpeza foram estabelecidos os percentuais de 6% e 3% respectivamente</t>
        </r>
        <r>
          <rPr>
            <sz val="9"/>
            <color rgb="FF000000"/>
            <rFont val="Tahoma"/>
            <family val="2"/>
            <charset val="1"/>
          </rPr>
          <t>. Os custos indiretos são calculados mediante incidência daqueles percentuais sobre o somatório da remuneração, benefícios mensais e diários, insumos diversos, encargos sociais e trabalhistas.</t>
        </r>
        <r>
          <rPr>
            <b/>
            <sz val="12"/>
            <color rgb="FFFF0000"/>
            <rFont val="Tahoma"/>
            <family val="2"/>
            <charset val="1"/>
          </rPr>
          <t>Na verdade o esse texto traz arredondamentos, sendo que a Margem de lucro definida em estudo na Caderno de Limpeza do MPOG 2014 é</t>
        </r>
        <r>
          <rPr>
            <b/>
            <sz val="12"/>
            <color rgb="FF000000"/>
            <rFont val="Tahoma"/>
            <family val="2"/>
            <charset val="1"/>
          </rPr>
          <t>de 6,79% para Lucro e 3% para Custos Indiretos</t>
        </r>
        <r>
          <rPr>
            <b/>
            <sz val="12"/>
            <color rgb="FFFF0000"/>
            <rFont val="Tahoma"/>
            <family val="2"/>
            <charset val="1"/>
          </rPr>
          <t>, para os serviços de Vigilância e limpeza</t>
        </r>
        <r>
          <rPr>
            <sz val="9"/>
            <color rgb="FF000000"/>
            <rFont val="Tahoma"/>
            <family val="2"/>
            <charset val="1"/>
          </rPr>
          <t>________________________________________________________________________________________________________________</t>
        </r>
        <r>
          <rPr>
            <b/>
            <sz val="9"/>
            <color rgb="FF000000"/>
            <rFont val="Tahoma"/>
            <family val="2"/>
            <charset val="1"/>
          </rPr>
          <t>IN nº 05/17 – anexo vii-a</t>
        </r>
        <r>
          <rPr>
            <sz val="9"/>
            <color rgb="FF000000"/>
            <rFont val="Tahoma"/>
            <family val="2"/>
            <charset val="1"/>
          </rPr>
          <t>9.2  Consideram-se preços manifestamente inexeqüíveis aqueles que, comprovadamente, forem insuficientes para a cobertura dos custos decorrentes da contratação pretendida.
9.3 A inexeqüibilidade dos valores referentes a itens isolados da planilha de custos  e formação de preços não caracteriza motivo suficiente para a desclassificação da proposta, , desde que não contrariem exigências legais.
9.4 Se houver indícios de inexequibilidade da proposta de preço, ou em caso da necessidade de esclarecimentos complementares, poderá ser efetuada diligência, na forma do § 3° do art. 43 da Lei n° 8.666, de 1993, para efeito de comprovação de sua exequibilidade, podendo ser adotado, dentre outros, os seguintes procedimentos:
questionamentos junto à proponente para a apresentação de justificativas e comprovações em relação aos custos com indícios de inexequibilidade;verificação de Acordos, Convenções ou Dissídios Coletivos de Trabalho;levantamento de informações junto ao Ministério do Trabalho; consultas a entidades ou conselhos de classe, sindicatos ou similares; pesquisas em órgãos públicos ou empresas privadas verificação de outros contratos que o proponente mantenha com a Administração ou com a iniciativa privada;pesquisa de preço com fornecedores dos insumos utilizados, tais como: atacadistas, lojas de suprimentos,supermercados e fabricantes;verificação de notas fiscais dos produtos adquiridos pelo proponente;
levantamento de indicadores salariais ou trabalhistas publicados por órgãos de pesquisa;estudos setoriais;consultas às Fazendas Federal, Distrital, Estadual ou Municipal; eanálise de soluções técnicas escolhidas e/ou condições excepcionalmente favoráveis que o proponente disponha para a prestação dos serviços.
9.5 Qualquer interessado poderá requerer que se realizem diligências para aferir a exequibilidade e a legalidade das propostas, devendo apresentar as provas ou os indícios que fundamentam o pedido;
9.6 Quando o licitante apresentar</t>
        </r>
        <r>
          <rPr>
            <b/>
            <sz val="9"/>
            <color rgb="FF000000"/>
            <rFont val="Tahoma"/>
            <family val="2"/>
            <charset val="1"/>
          </rPr>
          <t>preço final inferior a 30% da média dos preços ofertados</t>
        </r>
        <r>
          <rPr>
            <sz val="9"/>
            <color rgb="FF000000"/>
            <rFont val="Tahoma"/>
            <family val="2"/>
            <charset val="1"/>
          </rPr>
          <t>para o mesmo item, e a inexequibilidade da proposta não for flagrante e evidente pela análise da planilha de custos e formação de preços,</t>
        </r>
        <r>
          <rPr>
            <b/>
            <sz val="9"/>
            <color rgb="FF000000"/>
            <rFont val="Tahoma"/>
            <family val="2"/>
            <charset val="1"/>
          </rPr>
          <t>não sendo possível a sua imediata desclassificaçã</t>
        </r>
        <r>
          <rPr>
            <sz val="9"/>
            <color rgb="FF000000"/>
            <rFont val="Tahoma"/>
            <family val="2"/>
            <charset val="1"/>
          </rPr>
          <t>o, será obrigatória a realização de diligências para aferir a legalidade e exequibilidade da proposta.
________________________________________________________________________________________________________________</t>
        </r>
        <r>
          <rPr>
            <b/>
            <sz val="9"/>
            <color rgb="FF000000"/>
            <rFont val="Tahoma"/>
            <family val="2"/>
            <charset val="1"/>
          </rPr>
          <t>TCU –Acórdão nº 1.214/2013 – Plenário
III.H percentuais mínimos aceitáveis para encargos sociais e ldi</t>
        </r>
        <r>
          <rPr>
            <sz val="9"/>
            <color rgb="FF000000"/>
            <rFont val="Tahoma"/>
            <family val="2"/>
            <charset val="1"/>
          </rPr>
          <t>219. Do mesmo modo, lucro, como se sabe, pode ser maximizado com uma boa gestão de mão de obra, mas não se deve abrir mão de um mínimo aceitável, pois não é crível que prestadores de serviços estejam dispostos a trabalharem de graça para o erário. Não fixar lucro mínimo é um incentivo para que as empresas avancem sobre outras verbas, como direitos trabalhistas, tributos e contribuições compulsórias, como tem sido praxe.
220. Também as despesas administrativas, devem ser objeto de análise pela administração, pois não é razoável que a empresa não possua esse gasto. No entanto, é aceitável que existam justificativas para reduzí-lo ou eliminá-lo, por exemplo, que a empresa administre muitos contratos, ou que se trate de uma empresa familiar, mas para isso a empresa necessite apresenta-las.
_______________________________________________________________________________________________________________</t>
        </r>
        <r>
          <rPr>
            <b/>
            <sz val="9"/>
            <color rgb="FF000000"/>
            <rFont val="Tahoma"/>
            <family val="2"/>
            <charset val="1"/>
          </rPr>
          <t>Mas em outro acordão o TCU definiu que  os % são livres para serem definidos por cada fornecedor:
(Acórdão 325/2007-TCU-Plenário).Não há vedação legalà atuação, por parte de empresas contratadas pela Administração Pública Federal,sem margem de lucro ou com margem de lucro mínima, pois tal fato depende da estratégia comercial da empresa e não conduz, necessariamente, à inexecução da proposta.
___________________________________________________________________________________________________Outro Acórdão que parece trazer certa solução, estabelece que os percentuais mínimos devem ser estabelecidos em Edital.A desclassificação de proposta por inexequibilidade deve ser objetivamente demonstrada, a partir de critérios previamente publicados (Acórdãos 2.528/2012 e 1.092/2013, ambos do Plenário).
Vale destacar que a questão foi abordada no Acórdão nº 1.214/13-Plenário, em sede de representação formulada a partir de trabalho realizado por grupo de estudos, constituído com o objetivo de apresentar proposições de melhorias nos procedimentos relativos à terceirização de serviços continuados na Administração Pública Federal. Um dos problemas apontados naquela ocasião foi justamente a dificuldade enfrentada pela Administração no exame de exequibilidade das propostas, em razão da ausência de parâmetros seguros de análise.
De acordo coma conclusão do grupo, “(…)os editais deveriam consignar expressamente as condições mínimas para que as propostas sejam consideradas exequíveis, proibindo propostas com lucro e despesas administrativas iguais a zero, entre outros, em razão de esse percentual englobar os impostos e contribuições não repercutíveis (IR, CSLL). Registre-se que o grupo não determinou quais seriam as condições mínimas ideais, de modo que deverá ser realizado estudo para determiná-las e, assim, possibilitar a implementação dessa proposta.”________________________________________________________________________________________________________________</t>
        </r>
      </text>
    </comment>
    <comment ref="F109" authorId="0">
      <text>
        <r>
          <rPr>
            <sz val="10"/>
            <color rgb="FF000000"/>
            <rFont val="Arial"/>
            <family val="2"/>
            <charset val="1"/>
          </rPr>
          <t>(Acórdão 325/2007-TCU-Plenário).</t>
        </r>
        <r>
          <rPr>
            <b/>
            <sz val="10"/>
            <color rgb="FF000000"/>
            <rFont val="Arial"/>
            <family val="2"/>
            <charset val="1"/>
          </rPr>
          <t>Não há vedação legal</t>
        </r>
        <r>
          <rPr>
            <sz val="10"/>
            <color rgb="FF000000"/>
            <rFont val="Arial"/>
            <family val="2"/>
            <charset val="1"/>
          </rPr>
          <t>à atuação, por parte de empresas contratadas pela Administração Pública Federal,</t>
        </r>
        <r>
          <rPr>
            <b/>
            <sz val="10"/>
            <color rgb="FF000000"/>
            <rFont val="Arial"/>
            <family val="2"/>
            <charset val="1"/>
          </rPr>
          <t>sem margem de lucro ou com margem de lucro mínima</t>
        </r>
        <r>
          <rPr>
            <sz val="10"/>
            <color rgb="FF000000"/>
            <rFont val="Arial"/>
            <family val="2"/>
            <charset val="1"/>
          </rPr>
          <t>, pois tal fato depende da estratégia comercial da empresa e não conduz, necessariamente, à inexecução da proposta
2. A desclassificação de proposta por inexequibilidade deve ser objetivamente demonstrada, a partir de critérios previamente publicados (Acórdãos 2.528/2012 e 1.092/2013, ambos do Plenário)
------------------------------------------------------------------------------------------------------------------------------------------
Mas em outro acórdão o TCU deliberou o seguinte:
Vale destacar que a questão foi abordada no Acórdão nº 1.214/13-Plenário, em sede de representação formulada a partir de trabalho realizado por grupo de estudos, constituído com o objetivo de apresentar proposições de melhorias nos procedimentos relativos à terceirização de serviços continuados na Administração Pública Federal. Um dos problemas apontados naquela ocasião foi justamente a dificuldade enfrentada pela Administração no exame de exequibilidade das propostas, em razão da ausência de parâmetros seguros de análise.
De acordo coma conclusão do grupo, “(…)</t>
        </r>
        <r>
          <rPr>
            <b/>
            <sz val="10"/>
            <color rgb="FF000000"/>
            <rFont val="Arial"/>
            <family val="2"/>
            <charset val="1"/>
          </rPr>
          <t>os editais deveriam consignar expressamente as condições mínimas para que as propostas sejam consideradas exequíveis, proibindo propostas com lucro e despesas administrativas iguais a zero</t>
        </r>
        <r>
          <rPr>
            <sz val="10"/>
            <color rgb="FF000000"/>
            <rFont val="Arial"/>
            <family val="2"/>
            <charset val="1"/>
          </rPr>
          <t>, entre outros, em razão de esse percentual englobar os impostos e contribuições não repercutíveis (IR, CSLL). Registre-se que o grupo não determinou quais seriam as condições mínimas ideais, de modo que deverá ser realizado estudo para determiná-las e, assim, possibilitar a implementação dessa proposta.”
------------------------------------------------------------------------------------------------------------------------------------------</t>
        </r>
        <r>
          <rPr>
            <b/>
            <sz val="10"/>
            <color rgb="FFFF0000"/>
            <rFont val="Arial"/>
            <family val="2"/>
            <charset val="1"/>
          </rPr>
          <t>Conclusão:
Melhor solução, estabelecer nos Editais com base em estudos percentuais minímos de lucros e custos indiretos</t>
        </r>
      </text>
    </comment>
    <comment ref="G112" authorId="0">
      <text>
        <r>
          <rPr>
            <sz val="10"/>
            <color rgb="FF000000"/>
            <rFont val="Arial"/>
            <family val="2"/>
            <charset val="1"/>
          </rPr>
          <t>Empresas Lucro Presumido:
PIS: 0,65% / COFINS: 3,00%
Empresas Lucro Real:
PIS: 1,65% / COFINS: 7,60%
Para as empresas optantes pelo Simples Nacional, a tributação varia conforme o faturamento mensal.
Soma-se os módulo 1,2,3,4,5, bem como os Custos Indiretos e o Lucro. Em seguida divide-se pelo Fator de Divisão, conforme a tributação aplicada (presumido,real,SIMPLES). Dessa forma, encontra-se o faturamento o qual incidirá a alíquota do PIS (PRESUMIDO).</t>
        </r>
      </text>
    </comment>
    <comment ref="G113" authorId="0">
      <text>
        <r>
          <rPr>
            <sz val="10"/>
            <color rgb="FF000000"/>
            <rFont val="Arial"/>
            <family val="2"/>
            <charset val="1"/>
          </rPr>
          <t>Empresas Lucro Presumido:
PIS: 0,65% / COFINS: 3,00%
Empresas Lucro Real:
PIS: 1,65% / COFINS: 7,60%
Para as empresas optantes pelo Simples Nacional, a tributação varia conforme o faturamento mensal.
Soma-se os módulo 1,2,3,4,5, bem como os Custos Indiretos e o Lucro. Em seguida divide-se pelo Fator de Divisão, conforme a tributação aplicada (presumido,real,SIMPLES). Dessa forma, encontra-se o faturamento o qual incidirá a alíquota do COFINS (PRESUMIDO).</t>
        </r>
      </text>
    </comment>
    <comment ref="G115" authorId="0">
      <text>
        <r>
          <rPr>
            <sz val="10"/>
            <color rgb="FF000000"/>
            <rFont val="Arial"/>
            <family val="2"/>
            <charset val="1"/>
          </rPr>
          <t>SANTOS DUMONT 3% (PODE VARIAR CONFORME MUNICÍPIO)
ALÍQUOTAS  SIMPLES, CONFORME TABELA A SEGUIR:
Antigo Anexo III do Simples Nacional (alterada em 2018)
Receita Bruta em 12 meses (em R$)	Alíquota Total	IRPJ	CSLL	COFINS	PIS	CPP	ISS
De R$ 0,00 a R$ 180.000,00            	6,00%	0,00%	0,00%	0,00%	0,00%	4,00%	2,00%
De R$ 180.000,01 a R$ 360.000,00 	8,21%	0,00%	0,00%	1,42%	0,00%	4,00%	2,79%
De R$ 360.000,01 a R$ 540.000,00 	10,26%	0,48%	0,43%	1,43%	0,35%	4,07%	3,50%
De R$ 540.000,01 a R$ 720.000,00 	11,31%	0,53%	0,53%	1,56%	0,38%	4,47%	3,84%
De R$ 720.000,01 a R$ 900.000,00 	11,40%	0,53%	0,52%	1,58%	0,38%	4,52%	3,87%
De R$ 900.000,01 a R$ 1.080.000,00 	12,42%	0,57%	0,57%	1,73%	0,40%	4,92%	4,23%
De R$ 1.080.000,01 a R$ 1.260.000,00 	12,54%	0,59%	0,56%	1,74%	0,42%	4,97%	4,26%
De R$ 1.260.000,01 a R$ 1.440.000,00 	12,68%	0,59%	0,57%	1,76%	0,42%	5,03%	4,31%
De R$ 1.440.000,01 a R$ 1.620.000,00 	13,55%	0,63%	0,61%	1,88%	0,45%	5,37%	4,61%
De R$ 1.620.000,01 a R$ 1.800.000,00 	13,68%	0,63%	0,64%	1,89%	0,45%	5,42%	4,65%
De R$ 1.800.000,01 a R$ 1.980.000,00 	14,93%	0,69%	0,69%	2,07%	0,50%	5,98%	5,00%
De R$ 1.980.000,01 a R$ 2.160.000,00 	15,06%	0,69%	0,69%	2,09%	0,50%	6,09%	5,00%
De R$ 2.160.000,01 a R$ 2.340.000,00 	15,20%	0,71%	0,70%	2,10%	0,50%	6,19%	5,00%
De R$ 2.340.000,01 a R$ 2.520.000,00 	15,35%	0,71%	0,70%	2,13%	0,51%	6,30%	5,00%
De R$ 2.520.000,01 a R$ 2.700.000,00 	15,48%	0,72%	0,70%	2,15%	0,51%	6,40%	5,00%
De R$ 2.700.000,01 a R$ 2.880.000,00 	16,85%	0,78%	0,76%	2,34%	0,56%	7,41%	5,00%
De R$ 2.880.000,01 a R$ 3.060.000,00 	16,98%	0,78%	0,78%	2,36%	0,56%	7,50%	5,00%
De R$ 3.060.000,01 a R$ 3.240.000,00 	17,13%	0,80%	0,79%	2,37%	0,57%	7,60%	5,00%
De R$ 3.240.000,01 a R$ 3.420.000,00 	17,27%	0,80%	0,79%	2,40%	0,57%	7,71%	5,00%
De R$ 3.420.000,01 a R$ 3.600.000,00 	17,42%	0,81%	0,79%	2,42%	0,57%	7,83%	5,00%</t>
        </r>
        <r>
          <rPr>
            <b/>
            <sz val="10"/>
            <color rgb="FF000000"/>
            <rFont val="Arial"/>
            <family val="2"/>
            <charset val="1"/>
          </rPr>
          <t>É aconselhável buscar auxilio do setor contábil do órgão para aferição dos tributos.</t>
        </r>
      </text>
    </comment>
    <comment ref="B132" authorId="0">
      <text>
        <r>
          <rPr>
            <sz val="10"/>
            <color rgb="FF000000"/>
            <rFont val="Arial"/>
            <family val="2"/>
            <charset val="1"/>
          </rPr>
          <t>Serviços de Limpeza devem usar o Quadro 6 da Planilha modelo da IN  05/2017 ( esta planilha já está configurada na aba por M²).
Serviços de Vigilância devem usar o quadro 5 da  da Planilha modelo da IN  05/2017</t>
        </r>
      </text>
    </comment>
  </commentList>
</comments>
</file>

<file path=xl/comments4.xml><?xml version="1.0" encoding="utf-8"?>
<comments xmlns="http://schemas.openxmlformats.org/spreadsheetml/2006/main">
  <authors>
    <author>Autor</author>
  </authors>
  <commentList>
    <comment ref="A3" authorId="0">
      <text>
        <r>
          <rPr>
            <sz val="10"/>
            <color rgb="FF000000"/>
            <rFont val="Arial"/>
            <family val="2"/>
            <charset val="1"/>
          </rPr>
          <t>ESSAS INFORMAÇÕES DEVEM SER REPASSADAS VIA EMAIL PELO SETOR DE LICITAÇÃO</t>
        </r>
      </text>
    </comment>
    <comment ref="H27" authorId="0">
      <text>
        <r>
          <rPr>
            <sz val="10"/>
            <color rgb="FF000000"/>
            <rFont val="Arial"/>
            <family val="2"/>
            <charset val="1"/>
          </rPr>
          <t>COLOCAR O VALOR DA CCT MAS DEIXAR ABERTO PARA FORNECEDOR ALTERAR “ SÓ PODE SER MAIOR QUE A CCT”</t>
        </r>
      </text>
    </comment>
    <comment ref="B28" authorId="0">
      <text>
        <r>
          <rPr>
            <sz val="10"/>
            <color rgb="FF000000"/>
            <rFont val="Arial"/>
            <family val="2"/>
            <charset val="1"/>
          </rPr>
          <t>Previsto em legislação ou acordo coletivo para trabalhos que impliquem em condições de risco à saúde ou integridade física do trabalhador.
30% sobre o salário base.</t>
        </r>
      </text>
    </comment>
    <comment ref="D28" authorId="0">
      <text>
        <r>
          <rPr>
            <sz val="10"/>
            <color rgb="FF000000"/>
            <rFont val="Arial"/>
            <family val="2"/>
            <charset val="1"/>
          </rPr>
          <t>Selecionar:
*Com Periculosidade
* Sem Periculosidade</t>
        </r>
      </text>
    </comment>
    <comment ref="E28" authorId="0">
      <text>
        <r>
          <rPr>
            <sz val="10"/>
            <color rgb="FF000000"/>
            <rFont val="Arial"/>
            <family val="2"/>
            <charset val="1"/>
          </rPr>
          <t>Selecionar 0% quando não houver Periculosidade e 30% quando incidir</t>
        </r>
      </text>
    </comment>
    <comment ref="B29" authorId="0">
      <text>
        <r>
          <rPr>
            <sz val="10"/>
            <color rgb="FF000000"/>
            <rFont val="Arial"/>
            <family val="2"/>
            <charset val="1"/>
          </rPr>
          <t>O salário de referência para cálculo do seu custo é o salário mínimo estadual ou o nacional ou o salário normativo da categoria se expressamente estabelecido no acordo ou convenção coletiva.
São operações que, por sua natureza, condições ou métodos de trabalho, exponham os empregados a agentes nocivos à saúde, acima dos limites de tolerância fixados em razão da natureza e da intensidade do agente e do tempo de exposição aos seus efeitos. (Art. 189, CLT)
Grau máximo: 40%;
Grau médio: 20%;
Grau mínimo: 10%.</t>
        </r>
      </text>
    </comment>
    <comment ref="B31" authorId="0">
      <text>
        <r>
          <rPr>
            <sz val="10"/>
            <color rgb="FF000000"/>
            <rFont val="Arial"/>
            <family val="2"/>
            <charset val="1"/>
          </rPr>
          <t>Verificar as auterações trazidas pela Reforma Trabalhista – Á principio aguardar as Novas CCT´s
Conferido ao trabalhador por trabalho executado entre as 22 horas de um dia e as 5 horas do dia seguinte.
Remunerado com adicional de, pelo menos, 20% sobre a hora diurna.
Adicional noturno para 1 hora trabalhada = Valor da hora diurna X 20%
Valor da hora diurna = Salário base / Total de horas trabalhadas no mês
O total de horas trabalhadas no mês calcula-se considerando 5 semanas de trabalho, conforme determinação do MTE.
Exemplo:
Salário: R$2.200,00
Valor da hora diurna: 2.200,00 / 220 horas (jornada de 44 horas semanais) = R$10,00
Adicional noturno para 1 hora trabalhada = 10,00 X 20% = R$2,00</t>
        </r>
      </text>
    </comment>
    <comment ref="D31" authorId="0">
      <text>
        <r>
          <rPr>
            <sz val="10"/>
            <color rgb="FF000000"/>
            <rFont val="Arial"/>
            <family val="2"/>
            <charset val="1"/>
          </rPr>
          <t>Selecionar entre:
Mínimo
Médio 
Máximo
Sem Insalubridade</t>
        </r>
      </text>
    </comment>
    <comment ref="E31" authorId="0">
      <text>
        <r>
          <rPr>
            <sz val="10"/>
            <color rgb="FF000000"/>
            <rFont val="Arial"/>
            <family val="2"/>
            <charset val="1"/>
          </rPr>
          <t>Selecionar entre:
0%
10%
20%
40%
E o valor da Insalubridade será calculado sobre o valor da salário</t>
        </r>
      </text>
    </comment>
    <comment ref="F31" authorId="0">
      <text>
        <r>
          <rPr>
            <sz val="10"/>
            <color rgb="FF000000"/>
            <rFont val="Arial"/>
            <family val="2"/>
            <charset val="1"/>
          </rPr>
          <t>Digitar valo do Salário Mínimo ou o da Categoria se expressamente estabelecido em Convenção Coletiva</t>
        </r>
      </text>
    </comment>
    <comment ref="B32" authorId="0">
      <text>
        <r>
          <rPr>
            <sz val="10"/>
            <color rgb="FF000000"/>
            <rFont val="Arial"/>
            <family val="2"/>
            <charset val="1"/>
          </rPr>
          <t>Corresponde a 52 minutos e 30 segundos.
A hora noturna adicional corresponde à diferença da hora noturna menos a hora normal.
Hora noturna = Hora normal X (60/52,5)
Hora noturna = Hora normal X 1,14285714
Exemplo:
Salário: R$2.200,00
Valor da hora diurna: 2.200,00 / 220 horas (jornada de 44 horas semanais) = R$10,00
Hora noturna = 10,00 X 1,14285714 = R$11,42
Hora noturna adicional = Hora noturna – Hora normal
Hora noturna adicional = (11,42 X 20%) - (R$10,00 X 20%) = 2,286 – 2,00 = 0,286</t>
        </r>
      </text>
    </comment>
    <comment ref="H33" authorId="0">
      <text>
        <r>
          <rPr>
            <b/>
            <sz val="9"/>
            <color indexed="81"/>
            <rFont val="Tahoma"/>
            <family val="2"/>
          </rPr>
          <t>UFERSA:O adicional noturno influenciará no repouso semanal remunerado, portando para compensar o descanso semanal decorrente do labor noturno, o empregado também terá reflexo em seu descanso remunerado de adicional noturno.  Em decorrência do valor do posto ser mensal, ou seja de um mês qualquer, os dias úteis, domingos e feriados foram tomados como uma média mensal dentro de um período de um ano (2018). Adotamos como o fator multiplicador de 0,229 , igual à (1/média de dias úteis 2018)xmédia de feriados e domingos em  2018.</t>
        </r>
        <r>
          <rPr>
            <sz val="9"/>
            <color indexed="81"/>
            <rFont val="Tahoma"/>
            <family val="2"/>
          </rPr>
          <t xml:space="preserve">
</t>
        </r>
      </text>
    </comment>
    <comment ref="B35" authorId="0">
      <text>
        <r>
          <rPr>
            <sz val="10"/>
            <color rgb="FF000000"/>
            <rFont val="Arial"/>
            <family val="2"/>
            <charset val="1"/>
          </rPr>
          <t>Relativo ao trabalho realizado além da jornada diária regular estabelecida, com acréscimo de no mínimo 50% do valor da hora normal para trabalho extra (entre segunda e sábado) e de 100% em domingos e feriados.
Não pode ser maior do que 2 horas diárias. (Art. 59, CLT)</t>
        </r>
      </text>
    </comment>
    <comment ref="B41" authorId="0">
      <text>
        <r>
          <rPr>
            <b/>
            <sz val="10"/>
            <color rgb="FF000000"/>
            <rFont val="Arial"/>
            <family val="2"/>
            <charset val="1"/>
          </rPr>
          <t>Cálculo de acordo com o Manual para preenchimento de Planilha do MPOG de 2011</t>
        </r>
        <r>
          <rPr>
            <sz val="10"/>
            <color rgb="FF000000"/>
            <rFont val="Arial"/>
            <family val="2"/>
            <charset val="1"/>
          </rPr>
          <t>Considerando que na duração do contrato de 60 meses o empregado tem 5 meses de férias e labora em 56 meses:
(5/56) x 100 = 8,93%;</t>
        </r>
        <r>
          <rPr>
            <b/>
            <sz val="10"/>
            <color rgb="FF000000"/>
            <rFont val="Arial"/>
            <family val="2"/>
            <charset val="1"/>
          </rPr>
          <t>Cálculo de acordo com o Caderno de Logistica/ Serviços de limpeza  MPOG de 2014</t>
        </r>
        <r>
          <rPr>
            <sz val="10"/>
            <color rgb="FF000000"/>
            <rFont val="Arial"/>
            <family val="2"/>
            <charset val="1"/>
          </rPr>
          <t>Para os contratos de 1 ano (12 meses) o empregado trabalha 12 meses e tem direito a 1 mês de férias, o que significa:
(1/12) x 100 = 8,33%.
Por derradeiro a IN 05/2017, trouxe o seguinte texto
Nota 1: Como a planilha de custos e formação de preços é calculada mensalmente, provisiona-se
proporcionalmente 1/12 (um doze avos) dos valores referentes a gratificação natalina e adicional
de férias.</t>
        </r>
        <r>
          <rPr>
            <b/>
            <sz val="10"/>
            <color rgb="FF000000"/>
            <rFont val="Arial"/>
            <family val="2"/>
            <charset val="1"/>
          </rPr>
          <t>( No meu entendimento definiu que o percentual do 13° é de 8,33% ), 
MAS É NECESSÁRIO ESPERAR SAIR O MANUAL DE PREENCHIMENTO DA PLANILHA, TÃO PROMETIDO PARA  SE BATER O MARTELO, POIS COSTUMA UMA PUBLICAÇÃO NÃO BATER COM A OUTRA, SÓ PARA VARIAR.</t>
        </r>
      </text>
    </comment>
    <comment ref="G41" authorId="0">
      <text>
        <r>
          <rPr>
            <b/>
            <sz val="9"/>
            <color rgb="FF000000"/>
            <rFont val="Tahoma"/>
            <family val="2"/>
            <charset val="1"/>
          </rPr>
          <t>Usuário do Windows:</t>
        </r>
        <r>
          <rPr>
            <sz val="9"/>
            <color rgb="FF000000"/>
            <rFont val="Tahoma"/>
            <family val="2"/>
            <charset val="1"/>
          </rPr>
          <t>8,33% ou 8,93% Ler comentário na descrição do item 13º SALÁRIO ao lado</t>
        </r>
      </text>
    </comment>
    <comment ref="B42" authorId="0">
      <text>
        <r>
          <rPr>
            <sz val="10"/>
            <color rgb="FF000000"/>
            <rFont val="Arial"/>
            <family val="2"/>
            <charset val="1"/>
          </rPr>
          <t>.( Art. 129,Art. 130, inciso I da CLT e Art. 7° , inciso XCII da CF/88 [=(1/12)+(1/3)/12]</t>
        </r>
        <r>
          <rPr>
            <b/>
            <sz val="10"/>
            <color rgb="FF000000"/>
            <rFont val="Arial"/>
            <family val="2"/>
            <charset val="1"/>
          </rPr>
          <t>Quando é retido a conta vinculada o calculo deve ser [</t>
        </r>
        <r>
          <rPr>
            <sz val="10"/>
            <color rgb="FF000000"/>
            <rFont val="Arial"/>
            <family val="2"/>
            <charset val="1"/>
          </rPr>
          <t>=(1/11)+(1/3/11) que dá os 12,10% retidos na conta vinculada (calculo CNJ).
A IN 05/2017, trouxe o seguinte texto com relação ao módulo 2.1
Nota 1: Como a planilha de custos e formação de preços é calculada mensalmente, provisiona-se
proporcionalmente 1/12 (um doze avos) dos valores referentes a gratificação natalina e adicional
de férias.</t>
        </r>
        <r>
          <rPr>
            <b/>
            <sz val="10"/>
            <color rgb="FF000000"/>
            <rFont val="Arial"/>
            <family val="2"/>
            <charset val="1"/>
          </rPr>
          <t>( No meu entendimento definiu que o percentual do 13° é de 8,33% ),</t>
        </r>
        <r>
          <rPr>
            <b/>
            <u/>
            <sz val="10"/>
            <color rgb="FF000000"/>
            <rFont val="Arial"/>
            <family val="2"/>
            <charset val="1"/>
          </rPr>
          <t>MAS É NECESSÁRIO ESPERAR SAIR O MANUAL DE PREENCHIMENTO DA PLANILHA, TÃO PROMETIDO PARA BATER O MARTELO, POIS COSTUMA UMA PUBLICAÇÃO NÃO BATER COM A OUTRA, SÓ PARA VARIAR.</t>
        </r>
        <r>
          <rPr>
            <sz val="10"/>
            <color rgb="FF000000"/>
            <rFont val="Arial"/>
            <family val="2"/>
            <charset val="1"/>
          </rPr>
          <t>Nota 2: O adicional de férias contido no Submódulo 2.1 corresponde a 1/3 (um terço) da
remuneração que por sua vez é divido por 12 (doze) conforme Nota 1 acima.</t>
        </r>
        <r>
          <rPr>
            <b/>
            <sz val="10"/>
            <color rgb="FF000000"/>
            <rFont val="Arial"/>
            <family val="2"/>
            <charset val="1"/>
          </rPr>
          <t>( Desta forma também defini que o percentual das férias seria 1/12 * 1/3 que corresponde a 11,11% , mas na cartilha da conta vinculada lançada em fevereiro de 2018, continua 12,10% para ser retido e pago na conta vinculada referente a provisão de férias e 1/3)</t>
        </r>
        <r>
          <rPr>
            <b/>
            <u/>
            <sz val="10"/>
            <color rgb="FF000000"/>
            <rFont val="Arial"/>
            <family val="2"/>
            <charset val="1"/>
          </rPr>
          <t>PORTANTO SE FAZ NECESSÁRIO CONTINUAR USANDO O CALCULO DO CNJ DE 12,10% EM CONTRATOS QUE UTILIZEM CONTA VINCULADA, POIS COMO PODERIAMOS RETER UM VALOR QUE NÃO ESTÁ PROVISIONADO NA PLANILHA)</t>
        </r>
      </text>
    </comment>
    <comment ref="G42" authorId="0">
      <text>
        <r>
          <rPr>
            <b/>
            <sz val="9"/>
            <color rgb="FF000000"/>
            <rFont val="Tahoma"/>
            <family val="2"/>
            <charset val="1"/>
          </rPr>
          <t>Usuário do Windows:</t>
        </r>
        <r>
          <rPr>
            <sz val="9"/>
            <color rgb="FF000000"/>
            <rFont val="Tahoma"/>
            <family val="2"/>
            <charset val="1"/>
          </rPr>
          <t>11,11% ou 12,10% Ler comentário na descrição do item FÉRIAS ao lado</t>
        </r>
      </text>
    </comment>
    <comment ref="B46" authorId="0">
      <text>
        <r>
          <rPr>
            <sz val="10"/>
            <color rgb="FF000000"/>
            <rFont val="Arial"/>
            <family val="2"/>
            <charset val="1"/>
          </rPr>
          <t>Contribuição de 20% sobre o total das remunerações destinada à Seguridade Social, conforme determina a Lei 8.212/91.</t>
        </r>
      </text>
    </comment>
    <comment ref="B47" authorId="0">
      <text>
        <r>
          <rPr>
            <sz val="10"/>
            <color rgb="FF000000"/>
            <rFont val="Arial"/>
            <family val="2"/>
            <charset val="1"/>
          </rPr>
          <t>Contribuições sociais destinadas ao Serviço Social da Indústria (SESI) e ao Serviço Social do Comércio (SESC). As empresas optantes pelo Simples Nacional são isentas. Para as demais empresas fica determinado o percentual de 1,5%.</t>
        </r>
      </text>
    </comment>
    <comment ref="D47" authorId="0">
      <text>
        <r>
          <rPr>
            <sz val="10"/>
            <color rgb="FF000000"/>
            <rFont val="Arial"/>
            <family val="2"/>
            <charset val="1"/>
          </rPr>
          <t>Usuário do Windows:
EMPRESAS OPTATANTES PELO SIMPLES ESTÃO ISENTAS DO PAGAMENTO DAS SEGUINTES CONTRIBUIÇÕES:  SESI ou SESC, SENAI ou SENAC, INCRA, Salário-Educação, SEBRAE, Portanto devem ser zeradas na Planilha.
Empresas de sessão de mão de obra não podem ser optantes pelo Simples com excessão das empresas que prestam serviços de serviços de vigilância, limpeza ou conservação desde que não exerçam em conjunto com outras atividades vedadas,c) Regime de Tributação – SIMPLES –Regime Especial Unificado de Arrecadação de Tributos e Contribuições – Microempresas (MEs) e Empresas de Pequeno Porte (EPPs) O SIMPLES consiste em um regime especial unificado de arrecadação de Tributos e Contribuições devidos pelas Microempresas e Empresas de Pequeno Porte, instituído pela Lei Complementar nº 123, de 14 de dezembro de 2006. Lembramos ainda que as microempresas e empresas de pequeno porte optantes pelo Simples Nacional ficam dispensadas do pagamento das demais contribuições instituídas pela União, tais como SESI ou SESC, SENAI ou SENAC, INCRA, Salário-Educação, SEBRAE, conforme expressa previsão legal contida no art. 13, § 3º da Lei Complementar nº 123/2006: § 3º  As microempresas e empresas de pequeno porte optantes pelo Simples Nacional ficam dispensadas do pagamento das demais contribuições instituídas pela União, inclusive as contribuições para as entidades privadas de serviço social e de formação profissional vinculadas ao sistema sindical, de que trata o art. 240 da Constituição Federal, e demais entidades de serviço social autônomo. Nem todas as microempresas ou empresas de pequeno porte poderão recolher os impostos e contribuições na forma do Simples, como por exemplo, as empresas que exercem atividade de cessão ou locação de mão de obra8. As vedações ao ingresso no Simples Nacional estão previstas no art. 17 da Lei Complementar nº 123/2006. 
8 Entende-se por cessão de mão de obra a colocação à disposição da empresa contratante, em suas dependências ou nas de terceiros, de trabalhadores que realizem serviços contínuos, relacionados ou não com sua atividade fim, quaisquer que sejam a natureza e a forma de contratação, inclusive por meio de trabalho temporário na forma da Lei nº 6.019, de 3 de janeiro de 1974. (art.115 Instrução Normativa RFB nº 971, de 13 de novembro de 2009)
117
CAPÍTULO VI – COMPOSIÇÃO DA PLANILHA DE CUSTO E FORMAÇÃO DE PREÇO 
Art. 17. Não poderão recolher os impostos e contribuições na forma do Simples Nacional a microempresa ou a empresa de pequeno porte: (...) XII – que realize cessão ou locação de mão de obra; É importante ressaltar que as vedações previstas no caput do art. 17 da LC nº 123/2006 não se aplicam às pessoas jurídicas que se dediquem exclusivamente às atividades referidas nos §§ 5o-B a 5o-E do art. 18 da Lei Complementar multicitada, ou as exerçam em conjunto com outras atividades que não tenham sido objeto de vedação no mesmo caput. Não se incluem nas vedações, por exemplo, as empresas que prestam serviços de vigilância, limpeza ou conservação desde que não exerçam em conjunto com outras atividades vedadas.
LC 123/2006 – §§ 5o-B a 5o-E do art. 18 da Lei Complementar nº 123/2006 § 5º-H.  A vedação de que trata o inciso XII do caput do art. 17 desta Lei Complementar não se aplica às atividades referidas no § 5º-C deste artigo. (Incluído pela Lei Complementar nº 128, de 2008) § 5º-C.  Sem prejuízo do disposto no § 1º do art. 17 desta Lei Complementar, as atividades de prestação de serviços seguintes serão tributadas na forma do Anexo IV desta Lei Complementar, hipótese em que não estará incluída no Simples Nacional a contribuição prevista no inciso VI do caput do art. 13 desta Lei Complementar, devendo ela ser recolhida segundo a legislação prevista para os demais contribuintes ou responsáveis: (Incluído pela Lei Complementar nº 128, de 2008) (...) VI – serviço de vigilância, limpeza ou conservação. (Incluído pela Lei Complementar nº 128, de 2008)</t>
        </r>
      </text>
    </comment>
    <comment ref="G47" authorId="0">
      <text>
        <r>
          <rPr>
            <sz val="9"/>
            <color rgb="FF000000"/>
            <rFont val="Tahoma"/>
            <family val="2"/>
            <charset val="1"/>
          </rPr>
          <t>Zerar se for optante pelo simples</t>
        </r>
      </text>
    </comment>
    <comment ref="B48" authorId="0">
      <text>
        <r>
          <rPr>
            <sz val="10"/>
            <color rgb="FF000000"/>
            <rFont val="Arial"/>
            <family val="2"/>
            <charset val="1"/>
          </rPr>
          <t>Contribuição ao Serviço Nacional de Aprendizagem Industrial (SENAI) e ao Serviço Nacional de Aprendizagem Comercial (SENAC). As empresas optantes pelo Simples Nacional são isentas. Para as demais empresas com menos de 500 empregados a incidência é de 1% e para as empresas com mais de 500 empregados a incidência é de 1,2%.</t>
        </r>
      </text>
    </comment>
    <comment ref="G48" authorId="0">
      <text>
        <r>
          <rPr>
            <b/>
            <sz val="9"/>
            <color rgb="FF000000"/>
            <rFont val="Tahoma"/>
            <family val="2"/>
            <charset val="1"/>
          </rPr>
          <t>Usuário do Windo</t>
        </r>
        <r>
          <rPr>
            <sz val="9"/>
            <color rgb="FF000000"/>
            <rFont val="Tahoma"/>
            <family val="2"/>
            <charset val="1"/>
          </rPr>
          <t>Zerar se for optante pelo simples</t>
        </r>
      </text>
    </comment>
    <comment ref="B49" authorId="0">
      <text>
        <r>
          <rPr>
            <sz val="10"/>
            <color rgb="FF000000"/>
            <rFont val="Arial"/>
            <family val="2"/>
            <charset val="1"/>
          </rPr>
          <t>Contribuição ao Instituto Nacional de Colonização e Reforma Agrária. As empresas optantes pelo Simples Nacional são isentas e as demais empresas pagam um percentual de 0,2%.</t>
        </r>
      </text>
    </comment>
    <comment ref="G49" authorId="0">
      <text>
        <r>
          <rPr>
            <b/>
            <sz val="9"/>
            <color rgb="FF000000"/>
            <rFont val="Tahoma"/>
            <family val="2"/>
            <charset val="1"/>
          </rPr>
          <t>Usuário do Windows:</t>
        </r>
        <r>
          <rPr>
            <sz val="9"/>
            <color rgb="FF000000"/>
            <rFont val="Tahoma"/>
            <family val="2"/>
            <charset val="1"/>
          </rPr>
          <t>Zerar se for optante pelo simples</t>
        </r>
      </text>
    </comment>
    <comment ref="B50" authorId="0">
      <text>
        <r>
          <rPr>
            <sz val="10"/>
            <color rgb="FF000000"/>
            <rFont val="Arial"/>
            <family val="2"/>
            <charset val="1"/>
          </rPr>
          <t>Contribuição social destinada ao financiamento da educação básica nos termos da Constituição Federal à base de 2,5%. As empresas optantes pelo Simples Nacional são isentas.</t>
        </r>
      </text>
    </comment>
    <comment ref="G50" authorId="0">
      <text>
        <r>
          <rPr>
            <b/>
            <sz val="9"/>
            <color rgb="FF000000"/>
            <rFont val="Tahoma"/>
            <family val="2"/>
            <charset val="1"/>
          </rPr>
          <t>Usuário do Windows:</t>
        </r>
        <r>
          <rPr>
            <sz val="9"/>
            <color rgb="FF000000"/>
            <rFont val="Tahoma"/>
            <family val="2"/>
            <charset val="1"/>
          </rPr>
          <t>Zerar se for optante pelo simples</t>
        </r>
      </text>
    </comment>
    <comment ref="B51" authorId="0">
      <text>
        <r>
          <rPr>
            <sz val="10"/>
            <color rgb="FF000000"/>
            <rFont val="Arial"/>
            <family val="2"/>
            <charset val="1"/>
          </rPr>
          <t>O Fundo de Garantia do Tempo de Serviço (FGTS) constitui-se em um pecúlio disponibilizado quando da aposentadoria ou morte do trabalhador e representa uma garantia para a indenização do tempo de serviço nos casos de demissão imotivada. É garantido pela Constituição Federal à base de 8%.</t>
        </r>
      </text>
    </comment>
    <comment ref="B52" authorId="0">
      <text>
        <r>
          <rPr>
            <sz val="10"/>
            <color rgb="FF000000"/>
            <rFont val="Arial"/>
            <family val="2"/>
            <charset val="1"/>
          </rPr>
          <t>Contribuição destinada a custear benefícios concedidos em razão do grau de incidência de incapacidade laborativa decorrentes dos riscos ambientais do trabalho. Pode ser estabelecido em:
SEG.ACID.TRAB. FAP X RAT ( Art. 22,II, da Lei n° 8.212/91).Alíquotas do SAT em função do FAP(Decreto n° 6.042/07 e n° 6.957/09).Fap(Anexo da RESOLUÇÃO mps/cnps n° 1.316/10)=alíquota do FAPx perc. Do SAT
Esses Perecentuais devem ser conferidos pelo pregoeiro e equipe de apoio, com base na GFIP
1% quando o risco de acidentes do trabalho for considerado leve.
2% quando o risco de acidentes do trabalho for considerado médio.
3% quando o risco de acidentes do trabalho for considerado grave.</t>
        </r>
      </text>
    </comment>
    <comment ref="G52" authorId="0">
      <text>
        <r>
          <rPr>
            <b/>
            <sz val="9"/>
            <color rgb="FF000000"/>
            <rFont val="Tahoma"/>
            <family val="2"/>
            <charset val="1"/>
          </rPr>
          <t>Usuário do Windows:</t>
        </r>
        <r>
          <rPr>
            <sz val="9"/>
            <color rgb="FF000000"/>
            <rFont val="Tahoma"/>
            <family val="2"/>
            <charset val="1"/>
          </rPr>
          <t>JURISPRUDÊNCIA - TCU (Acórdão  2.554/2010 - Primeira Câmara) 
7. Com relação aos itens de custo não cotados ou cotados a menor pela empresa vencedora do certame (como o “Seguro de Acidente de Trabalho”, a “Assistência Social Familiar Sindical”, a “Assistência Social” e os benefícios indiretos concedidos pelas empresas aos empregados),</t>
        </r>
        <r>
          <rPr>
            <b/>
            <sz val="9"/>
            <color rgb="FF000000"/>
            <rFont val="Tahoma"/>
            <family val="2"/>
            <charset val="1"/>
          </rPr>
          <t>não chegam a invalidar a proposta da licitante, mas devem ser objeto de acompanhamento pelo CBPF,</t>
        </r>
        <r>
          <rPr>
            <sz val="9"/>
            <color rgb="FF000000"/>
            <rFont val="Tahoma"/>
            <family val="2"/>
            <charset val="1"/>
          </rPr>
          <t>com a verificação do cumprimento, pela contratada, de suas obrigações trabalhistas em conformidade com a legislação, de forma a resguardar a Administração de eventual responsabilização solidária</t>
        </r>
        <r>
          <rPr>
            <b/>
            <sz val="9"/>
            <color rgb="FF000000"/>
            <rFont val="Tahoma"/>
            <family val="2"/>
            <charset val="1"/>
          </rPr>
          <t>, não podendo essas obrigações importar em eventual acréscimo contratual, considerando que a empresa tem o dever de honrar sua proposta na licitação,</t>
        </r>
        <r>
          <rPr>
            <sz val="9"/>
            <color rgb="FF000000"/>
            <rFont val="Tahoma"/>
            <family val="2"/>
            <charset val="1"/>
          </rPr>
          <t>prestando os serviços contratados pelo preço acordado entre as partes</t>
        </r>
      </text>
    </comment>
    <comment ref="B53" authorId="0">
      <text>
        <r>
          <rPr>
            <sz val="10"/>
            <color rgb="FF000000"/>
            <rFont val="Arial"/>
            <family val="2"/>
            <charset val="1"/>
          </rPr>
          <t>Contribuição social repassada ao Serviço Brasileiro de Apoio à Pequena e Média Empresa (SEBRAE), destinado a custear os programas de apoio à pequena e média empresa à base de 0,6%. As empresas optantes pelo Simples Nacional são isentas.</t>
        </r>
      </text>
    </comment>
    <comment ref="G53" authorId="0">
      <text>
        <r>
          <rPr>
            <b/>
            <sz val="9"/>
            <color rgb="FF000000"/>
            <rFont val="Tahoma"/>
            <family val="2"/>
            <charset val="1"/>
          </rPr>
          <t>Usuário do Windows:</t>
        </r>
        <r>
          <rPr>
            <sz val="9"/>
            <color rgb="FF000000"/>
            <rFont val="Tahoma"/>
            <family val="2"/>
            <charset val="1"/>
          </rPr>
          <t>Zerar se for optante pelo simples</t>
        </r>
      </text>
    </comment>
    <comment ref="G60" authorId="0">
      <text>
        <r>
          <rPr>
            <sz val="10"/>
            <color rgb="FF000000"/>
            <rFont val="Arial"/>
            <family val="2"/>
            <charset val="1"/>
          </rPr>
          <t>Pode variar conforme CCT. Sempre verificar.</t>
        </r>
      </text>
    </comment>
    <comment ref="B74" authorId="0">
      <text>
        <r>
          <rPr>
            <b/>
            <sz val="9"/>
            <color rgb="FF000000"/>
            <rFont val="Tahoma"/>
            <family val="2"/>
            <charset val="1"/>
          </rPr>
          <t>Usuário do Windows:</t>
        </r>
        <r>
          <rPr>
            <sz val="9"/>
            <color rgb="FF000000"/>
            <rFont val="Tahoma"/>
            <family val="2"/>
            <charset val="1"/>
          </rPr>
          <t>FUNDAMENTAÇÃO LEGAL - Constituição Federal de 1988 (Art. 7°, inciso XXI) - CLT (Art. 477, art. 487 a 491) - Observação (1) - Aviso Prévio Indenizado – Estudos CNJ – Resolução 98/2009  Aviso Prévio indenizado - 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término do contrato de trabalho. Cálculo ((1/12)x 0,05) x 100 =0,42%.</t>
        </r>
      </text>
    </comment>
    <comment ref="B75" authorId="0">
      <text>
        <r>
          <rPr>
            <b/>
            <sz val="9"/>
            <color rgb="FF000000"/>
            <rFont val="Tahoma"/>
            <family val="2"/>
            <charset val="1"/>
          </rPr>
          <t>Usuário do Windows:</t>
        </r>
        <r>
          <rPr>
            <sz val="9"/>
            <color rgb="FF000000"/>
            <rFont val="Tahoma"/>
            <family val="2"/>
            <charset val="1"/>
          </rPr>
          <t>aplicar o percentual do FGTS sobre o Aviso Prévio Indenizado.</t>
        </r>
        <r>
          <rPr>
            <b/>
            <sz val="9"/>
            <color rgb="FF000000"/>
            <rFont val="Tahoma"/>
            <family val="2"/>
            <charset val="1"/>
          </rPr>
          <t>Ex 8% X 0,42% = 0,03%</t>
        </r>
      </text>
    </comment>
    <comment ref="B76" authorId="0">
      <text>
        <r>
          <rPr>
            <b/>
            <sz val="9"/>
            <color rgb="FF000000"/>
            <rFont val="Tahoma"/>
            <family val="2"/>
            <charset val="1"/>
          </rPr>
          <t>Usuário do Windows:</t>
        </r>
        <r>
          <rPr>
            <sz val="9"/>
            <color rgb="FF000000"/>
            <rFont val="Tahoma"/>
            <family val="2"/>
            <charset val="1"/>
          </rPr>
          <t>FUNDAMENTAÇÃO LEGAL - Jurisprudência - TCU (Acórdão 2.217/2010 – Plenário - vide apêndice pág. 52)
49 Multa do FGTS do aviso prévio indenizado: valor da multa do FGTS indenizado (40%) + contribuição social sobre o FGTS (10%), que incide sobre a alíquota do FGTS (8%) aplicado sobre o custo de referência do aviso prévio indenizado.
 FUNDAMENTAÇÃO LEGAL - Lei nº 8.036, de 11 de maio de 1990 (Art. 18 § 1º) com redação dada pela Lei nº 9.491, de 9 de setembro de 1997. - Lei Complementar nº 110, de 29 de junho de 2001. (Art. 1°) - Observação (2) - Aviso Prévio Indenizado – Estudos CNJ – Resolução 98/2009 Multa FGTS - Rescisão sem Justa Causa: A Lei Complementar nº 110, de 29 de junho de 2001, determina multa de 50%, da soma dos depósitos do FGTS, no caso de rescisão sem justa causa. Considerando que 10% dos empregados pedem contas, essa penalidade recai sobre os 90% remanescentes. Considerando o pagamento da multa para os valores depositados relativos a salários, férias e 13º salário o cálculo dessa provisão corresponde a: 0,08 x 0,5 x 0,9 x (1 + 5/56 + 5/56 + 1/3 * 5/56) = 4,35%.</t>
        </r>
      </text>
    </comment>
    <comment ref="G76" authorId="0">
      <text>
        <r>
          <rPr>
            <b/>
            <sz val="10"/>
            <color rgb="FF000000"/>
            <rFont val="Arial"/>
            <family val="2"/>
            <charset val="1"/>
          </rPr>
          <t>1°- Não havendo conta vinculada o valor de referência estabelecido no Manual de preenchimento de planilhas do MPOG é de 4,35% APT+API.
FUNDAMENTAÇÃO LEGAL -</t>
        </r>
        <r>
          <rPr>
            <sz val="10"/>
            <color rgb="FF000000"/>
            <rFont val="Arial"/>
            <family val="2"/>
            <charset val="1"/>
          </rPr>
          <t>Lei nº 8.036, de 11 de maio de 1990 (Art. 18 § 1º) com redação dada pela Lei nº 9.491, de 9 de setembro de 1997. - Lei Complementar nº 110, de 29 de junho de 2001. (Art. 1°) -Aviso Prévio Indenizado – Estudos CNJ – Resolução 98/2009 Multa FGTS - Rescisão sem Justa Causa: A Lei Complementar nº 110, de 29 de junho de 2001, determina multa de 50%, da soma dos depósitos do FGTS, no caso de rescisão sem justa causa. Considerando que 10% dos empregados pedem contas, essa penalidade recai sobre os 90% remanescentes.Considerando o pagamento da multa para os valores depositados relativos a salários, férias e 13º salário o cálculo dessa provisão corresponde a: 0,08 x 0,5 x 0,9 x (1 + 5/56 + 5/56 + 1/3 * 5/56) = 4,35%.Onde 0,08 Corresponde ao % dop FGTS;  0,5 é os 50% da multa FGTS ; 0,9 corresponde é o percentual de funcionários que são demitidos sem justa causa;( 1 representa uma remuneração; 5/56 representa 5 meses de férias que um funcionário dentro de um periodo de 56 meses este raciocionio vale para férias e 13° e por fim 1/3 de 5/56 que é um terço constitucional de féria).
---------------------------------------------------------------------------------------------------------------------
2° Quando for exigido conta vinculada :Conforme orientações do MPOG, Quando houver conta vinculada, tanto para o Aviso Prévio Trabalhado quanto para o Aviso Prévio Indenizado, a porcentagem que irá incidir é de 5% soma dos dois avisos (API+APT) sobre o custo de referência.
E também foi orientado que está correto o raciocínio de ponderar os 5% entre o API e o APT, não precisando ser exatamente 50% pra cada. Isso dependerá das características intrínsecas de cada empresa e tipo de serviço, podendo ser definido pelo fornecedor desde que os 2 itens fechem em 5% no caso de ter conta vinculada.</t>
        </r>
      </text>
    </comment>
    <comment ref="B77" authorId="0">
      <text>
        <r>
          <rPr>
            <b/>
            <sz val="9"/>
            <color rgb="FF000000"/>
            <rFont val="Tahoma"/>
            <family val="2"/>
            <charset val="1"/>
          </rPr>
          <t>Usuário do Windows:</t>
        </r>
        <r>
          <rPr>
            <sz val="9"/>
            <color rgb="FF000000"/>
            <rFont val="Tahoma"/>
            <family val="2"/>
            <charset val="1"/>
          </rPr>
          <t>[(1 salário integral / 30 dias) x 7 dias] / 12 meses = 1,94% é o índice.Acórdão 1186/2017 Plenário (Auditoria, Relator Ministro-Substituto Augusto Sherman)
Licitação. Orçamento estimativo. Encargos sociais. Aviso prévio. Terceirização. Limite máximo. Prorrogação de contrato.
Nas licitações para contratação de mão de obra terceirizada, a Administração deve estabelecer na minuta do contrato que a parcela mensal a título de aviso prévio trabalhado será no percentualmáximo de 1,94% no primeiro ano, e, em caso de prorrogação do contrato, o percentual máximo dessa parcela será de0,194% a cada ano de prorrogação, a ser incluído por ocasião da formulação do aditivo da prorrogação do contrato, conforme a Lei 12.506/2011.</t>
        </r>
      </text>
    </comment>
    <comment ref="G83" authorId="0">
      <text>
        <r>
          <rPr>
            <sz val="10"/>
            <color rgb="FF000000"/>
            <rFont val="Arial"/>
            <family val="2"/>
            <charset val="1"/>
          </rPr>
          <t>Opnião Edilson:
A IN 05/2017, trouxe uma novidade com relação as férias, antes tinhamos calculado separado neste campo o %  das férias e em outro campo o % do (1/3) terço constitucional que no cálculo do CNJ seria 12,10%.
Mas  agora  a IN 05/2017, trouxe no submódulo 2.1 as férias e o 1/3 juntos, e repetiu o item  férias mais uma vez no Módulo 4 - como Custo de Reposição do Profissional Ausente.
Tenho visto alguns colocarem novamente o percentual de 12,10% ou 11,11%, o que no meu ponto está redondamente errado.
 O Texto da IN 05/2017 trouxe o seguinte texto:
Nota: As alíneas “A” a “F” referem-se somente ao custo que será pago ao repositor pelos dias
trabalhados</t>
        </r>
        <r>
          <rPr>
            <b/>
            <u/>
            <sz val="10"/>
            <color rgb="FF000000"/>
            <rFont val="Arial"/>
            <family val="2"/>
            <charset val="1"/>
          </rPr>
          <t>quando da necessidade de substituir</t>
        </r>
        <r>
          <rPr>
            <sz val="10"/>
            <color rgb="FF000000"/>
            <rFont val="Arial"/>
            <family val="2"/>
            <charset val="1"/>
          </rPr>
          <t>a mão de obra alocada na prestação do serviço.
Com base neste texto, até que saia o manual de preenchimento da planilha existem 2 opções:
1° Deixar em Branco: já que é novo e o valor é irrisório.
2° Calcular o percentual das férias+1 /3  + 13° salário e dividir por 12 e os seus reflexos que já seram automaticamente cáculados na letra F ( incidencia submodulo 2.1).</t>
        </r>
      </text>
    </comment>
    <comment ref="F84" authorId="0">
      <text>
        <r>
          <rPr>
            <b/>
            <sz val="9"/>
            <color rgb="FF000000"/>
            <rFont val="Tahoma"/>
            <family val="2"/>
            <charset val="1"/>
          </rPr>
          <t>Usuário do Windows:
CUSTO NÃO RENOVÁVEL :</t>
        </r>
        <r>
          <rPr>
            <sz val="9"/>
            <color rgb="FF000000"/>
            <rFont val="Tahoma"/>
            <family val="2"/>
            <charset val="1"/>
          </rPr>
          <t>VALE LEMBRAR QUE POR OCASIÃO DAS PRORROGAÇÕES DEVE SE VERIFICAR SE ESSE VALOR PROVISIONADO FOI UTILIZADO, SE NÃO FOR OU FOR UTILIZADO EM PARTES, DEVE SER RETIRADO OU COLOCADO PROPORCIONALMENTE O % UTILIZADO.</t>
        </r>
        <r>
          <rPr>
            <b/>
            <sz val="9"/>
            <color rgb="FF000000"/>
            <rFont val="Tahoma"/>
            <family val="2"/>
            <charset val="1"/>
          </rPr>
          <t>(O RACIOCÍNIO VALE PARA TODOS OS ITENS DESTA TABELA DO SUBMÓDULO 4.1)</t>
        </r>
      </text>
    </comment>
    <comment ref="G84" authorId="0">
      <text>
        <r>
          <rPr>
            <sz val="10"/>
            <color rgb="FF000000"/>
            <rFont val="Arial"/>
            <family val="2"/>
            <charset val="1"/>
          </rPr>
          <t>Ausências previstas na legislação vigente que é composta por um conjunto de casos em que o funcionário pode se ausentar sem perda da remuneração.
Considerando que o empregado tenha apenas uma falta legal durante o período de 1 ano, temos:
Cálculo:
1/360 = 0,002777 = 0,27%
Esse valor pode variar conforme dados estatísticos da empresa.</t>
        </r>
      </text>
    </comment>
    <comment ref="G85" authorId="0">
      <text>
        <r>
          <rPr>
            <sz val="10"/>
            <color rgb="FF000000"/>
            <rFont val="Arial"/>
            <family val="2"/>
            <charset val="1"/>
          </rPr>
          <t>Concede ao empregado o direito de ausentar-se do serviço por cinco dias quando do nascimento de filho. De acordo com o IBGE, nascem filhos de 1,5% dos trabalhadores no período de um ano. Dessa forma a provisão para este item corresponde a:
((5/30)/12) x 0,015 x 100 = 0,02%
Esse valor pode variar conforme dados estatísticos da empresa.</t>
        </r>
      </text>
    </comment>
    <comment ref="F86" authorId="0">
      <text>
        <r>
          <rPr>
            <b/>
            <sz val="9"/>
            <color indexed="81"/>
            <rFont val="Tahoma"/>
            <family val="2"/>
          </rPr>
          <t>UFERSA:</t>
        </r>
        <r>
          <rPr>
            <sz val="9"/>
            <color indexed="81"/>
            <rFont val="Tahoma"/>
            <family val="2"/>
          </rPr>
          <t xml:space="preserve">
O auxílio-acidente é o afastamento por mais de 15 dias do trabalho em
virtude de acidentes no exercício da atividade profissional, ou doenças adquiridas ou desencadeadas pelo exercício do trabalho ou das condições em que este é realizado e com ele se relacione diretamente. O custo estimado nessa rubrica corresponde apenas aos primeiros 15 dias, o qual é obrigação da empresa a cobertura do mesmo, sendo após 15 dias, o benefício será coberto pela Previdência Social. O percentual de 0,06% é igual ao número de dias cobertos pela empresa em um mês dentro de um ano multiplicado por 1,33%  conforme  Anuário Estatístico de Acidentes do Trabalho-2016(AEAT/INSS2016)(http://sa.previdencia.gov.br/site/2018/04/AEAT-2016.pdf). 
</t>
        </r>
      </text>
    </comment>
    <comment ref="G86" authorId="0">
      <text>
        <r>
          <rPr>
            <sz val="10"/>
            <color rgb="FF000000"/>
            <rFont val="Arial"/>
            <family val="2"/>
            <charset val="1"/>
          </rPr>
          <t>Valor do custo referente aos 15 primeiros dias em que o empregado encontra-se afastado por acidente de trabalho e a empresa contratada tem o dever de remunerá-lo. Após esse período o ônus passa a ser do INSS. De acordo com os números mais recentes apresentados pelo Ministério da Previdência e Assistência Social, baseados em informações prestadas pelos empregadores, por meio de GFIP, 0,78% dos empregados se acidentam no ano. Assim, a provisão corresponde a:
((15/30)/12) x 0,0078 x 100 = 0,03%
Esse valor pode variar conforme dados estatísticos da empresa.</t>
        </r>
      </text>
    </comment>
    <comment ref="B88" authorId="0">
      <text>
        <r>
          <rPr>
            <b/>
            <sz val="9"/>
            <color rgb="FF000000"/>
            <rFont val="Tahoma"/>
            <family val="2"/>
            <charset val="1"/>
          </rPr>
          <t>Usuário do Windows:</t>
        </r>
        <r>
          <rPr>
            <sz val="9"/>
            <color rgb="FF000000"/>
            <rFont val="Tahoma"/>
            <family val="2"/>
            <charset val="1"/>
          </rPr>
          <t>Esse item (Ausência por doença), foi exlcuido do modelo de tabela da IN05/2017, mas não foi dito o motivo, nem mesmo se deveria ser computado por exemplo com o item Ausências Legais,</t>
        </r>
        <r>
          <rPr>
            <b/>
            <sz val="9"/>
            <color rgb="FF000000"/>
            <rFont val="Tahoma"/>
            <family val="2"/>
            <charset val="1"/>
          </rPr>
          <t>enquanto não sai o manual de prenchimento de planilha</t>
        </r>
        <r>
          <rPr>
            <sz val="9"/>
            <color rgb="FF000000"/>
            <rFont val="Tahoma"/>
            <family val="2"/>
            <charset val="1"/>
          </rPr>
          <t>prometido pelo Ministério do Planejamento acho prudente continuar usando o percentual por se tratar do mais impactante na planilha de custos.</t>
        </r>
      </text>
    </comment>
    <comment ref="G88" authorId="0">
      <text>
        <r>
          <rPr>
            <sz val="10"/>
            <color rgb="FF000000"/>
            <rFont val="Arial"/>
            <family val="2"/>
            <charset val="1"/>
          </rPr>
          <t>Esta parcela refere-se aos dias em que o empregado fica doente e a contratada deve providenciar sua substituição. Entendemos que deva ser adotado 5,96 dias, conforme consta no memorial de cálculo encaminhado pelo MP, devendo-se converter esses dias em mês e depois dividi-lo pelo número de meses no ano. (Acórdão 1753/2008 – Plenário TCU)
Cálculo:
(5,96/30)/12 x 100 = 1,66%;
Esse valor pode variar conforme dados estatísticos da empresa.</t>
        </r>
      </text>
    </comment>
    <comment ref="B94" authorId="0">
      <text>
        <r>
          <rPr>
            <b/>
            <sz val="9"/>
            <color rgb="FF000000"/>
            <rFont val="Tahoma"/>
            <family val="2"/>
            <charset val="1"/>
          </rPr>
          <t>Usuário do Windows:</t>
        </r>
        <r>
          <rPr>
            <sz val="9"/>
            <color rgb="FF000000"/>
            <rFont val="Tahoma"/>
            <family val="2"/>
            <charset val="1"/>
          </rPr>
          <t>Texto extraído da IN 05/2017 
Nota: Quando houver a necessidade de reposição de um empregado durante sua ausência nos casos de intervalo para repouso ou alimentação deve-se contemplar o Submódulo 4.2.</t>
        </r>
      </text>
    </comment>
    <comment ref="B108" authorId="0">
      <text>
        <r>
          <rPr>
            <b/>
            <sz val="9"/>
            <color rgb="FF000000"/>
            <rFont val="Tahoma"/>
            <family val="2"/>
            <charset val="1"/>
          </rPr>
          <t>Usuário do Windows:</t>
        </r>
        <r>
          <rPr>
            <sz val="9"/>
            <color rgb="FF000000"/>
            <rFont val="Tahoma"/>
            <family val="2"/>
            <charset val="1"/>
          </rPr>
          <t> Definição
Correspondem aos dispêndios relativos aos custos indiretos, tributos e lucros. Na metodologia de cálculo dos valores limites é denominado CITL.</t>
        </r>
      </text>
    </comment>
    <comment ref="F109" authorId="0">
      <text>
        <r>
          <rPr>
            <b/>
            <sz val="9"/>
            <color rgb="FF000000"/>
            <rFont val="Tahoma"/>
            <family val="2"/>
            <charset val="1"/>
          </rPr>
          <t>Usuário do Windows:
Texto extraído do Manual de preenchimento de Planilha MPOG 2011</t>
        </r>
        <r>
          <rPr>
            <sz val="9"/>
            <color rgb="FF000000"/>
            <rFont val="Tahoma"/>
            <family val="2"/>
            <charset val="1"/>
          </rPr>
          <t>Nota Explicativa: 
Custos indiretos: são os gastos da contratada com sua estrutura administrativa, organizacional e gerenciamento de seus contratos, tais como as despesas relativas a: a) funcionamento e manutenção da sede, tais como aluguel, água, luz, telefone, o Imposto Predial Territorial Urbano – IPTU, dentre outros; b) pessoal administrativo; c) material e equipamentos de escritório; d) supervisão de serviços;  e) seguros.
 -</t>
        </r>
        <r>
          <rPr>
            <b/>
            <sz val="9"/>
            <color rgb="FF000000"/>
            <rFont val="Tahoma"/>
            <family val="2"/>
            <charset val="1"/>
          </rPr>
          <t>Observação (1) -  No cálculo dos valores limites para os serviços de vigilância e limpeza foram estabelecidos os percentuais de 6% e 3% respectivamente</t>
        </r>
        <r>
          <rPr>
            <sz val="9"/>
            <color rgb="FF000000"/>
            <rFont val="Tahoma"/>
            <family val="2"/>
            <charset val="1"/>
          </rPr>
          <t>. Os custos indiretos são calculados mediante incidência daqueles percentuais sobre o somatório da remuneração, benefícios mensais e diários, insumos diversos, encargos sociais e trabalhistas.</t>
        </r>
        <r>
          <rPr>
            <b/>
            <sz val="12"/>
            <color rgb="FFFF0000"/>
            <rFont val="Tahoma"/>
            <family val="2"/>
            <charset val="1"/>
          </rPr>
          <t>Na verdade o esse texto traz arredondamentos, sendo que a Margem de lucro definida em estudo na Caderno de Limpeza do MPOG 2014 é</t>
        </r>
        <r>
          <rPr>
            <b/>
            <sz val="12"/>
            <color rgb="FF000000"/>
            <rFont val="Tahoma"/>
            <family val="2"/>
            <charset val="1"/>
          </rPr>
          <t>de 6,79% para Lucro e 3% para Custos Indiretos</t>
        </r>
        <r>
          <rPr>
            <b/>
            <sz val="12"/>
            <color rgb="FFFF0000"/>
            <rFont val="Tahoma"/>
            <family val="2"/>
            <charset val="1"/>
          </rPr>
          <t>, para os serviços de Vigilância e limpeza</t>
        </r>
        <r>
          <rPr>
            <sz val="9"/>
            <color rgb="FF000000"/>
            <rFont val="Tahoma"/>
            <family val="2"/>
            <charset val="1"/>
          </rPr>
          <t>________________________________________________________________________________________________________________</t>
        </r>
        <r>
          <rPr>
            <b/>
            <sz val="9"/>
            <color rgb="FF000000"/>
            <rFont val="Tahoma"/>
            <family val="2"/>
            <charset val="1"/>
          </rPr>
          <t>IN nº 05/17 – anexo vii-a</t>
        </r>
        <r>
          <rPr>
            <sz val="9"/>
            <color rgb="FF000000"/>
            <rFont val="Tahoma"/>
            <family val="2"/>
            <charset val="1"/>
          </rPr>
          <t>9.2  Consideram-se preços manifestamente inexeqüíveis aqueles que, comprovadamente, forem insuficientes para a cobertura dos custos decorrentes da contratação pretendida.
9.3 A inexeqüibilidade dos valores referentes a itens isolados da planilha de custos  e formação de preços não caracteriza motivo suficiente para a desclassificação da proposta, , desde que não contrariem exigências legais.
9.4 Se houver indícios de inexequibilidade da proposta de preço, ou em caso da necessidade de esclarecimentos complementares, poderá ser efetuada diligência, na forma do § 3° do art. 43 da Lei n° 8.666, de 1993, para efeito de comprovação de sua exequibilidade, podendo ser adotado, dentre outros, os seguintes procedimentos:
questionamentos junto à proponente para a apresentação de justificativas e comprovações em relação aos custos com indícios de inexequibilidade;verificação de Acordos, Convenções ou Dissídios Coletivos de Trabalho;levantamento de informações junto ao Ministério do Trabalho; consultas a entidades ou conselhos de classe, sindicatos ou similares; pesquisas em órgãos públicos ou empresas privadas verificação de outros contratos que o proponente mantenha com a Administração ou com a iniciativa privada;pesquisa de preço com fornecedores dos insumos utilizados, tais como: atacadistas, lojas de suprimentos,supermercados e fabricantes;verificação de notas fiscais dos produtos adquiridos pelo proponente;
levantamento de indicadores salariais ou trabalhistas publicados por órgãos de pesquisa;estudos setoriais;consultas às Fazendas Federal, Distrital, Estadual ou Municipal; eanálise de soluções técnicas escolhidas e/ou condições excepcionalmente favoráveis que o proponente disponha para a prestação dos serviços.
9.5 Qualquer interessado poderá requerer que se realizem diligências para aferir a exequibilidade e a legalidade das propostas, devendo apresentar as provas ou os indícios que fundamentam o pedido;
9.6 Quando o licitante apresentar</t>
        </r>
        <r>
          <rPr>
            <b/>
            <sz val="9"/>
            <color rgb="FF000000"/>
            <rFont val="Tahoma"/>
            <family val="2"/>
            <charset val="1"/>
          </rPr>
          <t>preço final inferior a 30% da média dos preços ofertados</t>
        </r>
        <r>
          <rPr>
            <sz val="9"/>
            <color rgb="FF000000"/>
            <rFont val="Tahoma"/>
            <family val="2"/>
            <charset val="1"/>
          </rPr>
          <t>para o mesmo item, e a inexequibilidade da proposta não for flagrante e evidente pela análise da planilha de custos e formação de preços,</t>
        </r>
        <r>
          <rPr>
            <b/>
            <sz val="9"/>
            <color rgb="FF000000"/>
            <rFont val="Tahoma"/>
            <family val="2"/>
            <charset val="1"/>
          </rPr>
          <t>não sendo possível a sua imediata desclassificaçã</t>
        </r>
        <r>
          <rPr>
            <sz val="9"/>
            <color rgb="FF000000"/>
            <rFont val="Tahoma"/>
            <family val="2"/>
            <charset val="1"/>
          </rPr>
          <t>o, será obrigatória a realização de diligências para aferir a legalidade e exequibilidade da proposta.
________________________________________________________________________________________________________________</t>
        </r>
        <r>
          <rPr>
            <b/>
            <sz val="9"/>
            <color rgb="FF000000"/>
            <rFont val="Tahoma"/>
            <family val="2"/>
            <charset val="1"/>
          </rPr>
          <t>TCU –Acórdão nº 1.214/2013 – Plenário
III.H percentuais mínimos aceitáveis para encargos sociais e ldi</t>
        </r>
        <r>
          <rPr>
            <sz val="9"/>
            <color rgb="FF000000"/>
            <rFont val="Tahoma"/>
            <family val="2"/>
            <charset val="1"/>
          </rPr>
          <t>219. Do mesmo modo, lucro, como se sabe, pode ser maximizado com uma boa gestão de mão de obra, mas não se deve abrir mão de um mínimo aceitável, pois não é crível que prestadores de serviços estejam dispostos a trabalharem de graça para o erário. Não fixar lucro mínimo é um incentivo para que as empresas avancem sobre outras verbas, como direitos trabalhistas, tributos e contribuições compulsórias, como tem sido praxe.
220. Também as despesas administrativas, devem ser objeto de análise pela administração, pois não é razoável que a empresa não possua esse gasto. No entanto, é aceitável que existam justificativas para reduzí-lo ou eliminá-lo, por exemplo, que a empresa administre muitos contratos, ou que se trate de uma empresa familiar, mas para isso a empresa necessite apresenta-las.
_______________________________________________________________________________________________________________</t>
        </r>
        <r>
          <rPr>
            <b/>
            <sz val="9"/>
            <color rgb="FF000000"/>
            <rFont val="Tahoma"/>
            <family val="2"/>
            <charset val="1"/>
          </rPr>
          <t>Mas em outro acordão o TCU definiu que  os % são livres para serem definidos por cada fornecedor:
(Acórdão 325/2007-TCU-Plenário).Não há vedação legalà atuação, por parte de empresas contratadas pela Administração Pública Federal,sem margem de lucro ou com margem de lucro mínima, pois tal fato depende da estratégia comercial da empresa e não conduz, necessariamente, à inexecução da proposta.
___________________________________________________________________________________________________Outro Acórdão que parece trazer certa solução, estabelece que os percentuais mínimos devem ser estabelecidos em Edital.A desclassificação de proposta por inexequibilidade deve ser objetivamente demonstrada, a partir de critérios previamente publicados (Acórdãos 2.528/2012 e 1.092/2013, ambos do Plenário).
Vale destacar que a questão foi abordada no Acórdão nº 1.214/13-Plenário, em sede de representação formulada a partir de trabalho realizado por grupo de estudos, constituído com o objetivo de apresentar proposições de melhorias nos procedimentos relativos à terceirização de serviços continuados na Administração Pública Federal. Um dos problemas apontados naquela ocasião foi justamente a dificuldade enfrentada pela Administração no exame de exequibilidade das propostas, em razão da ausência de parâmetros seguros de análise.
De acordo coma conclusão do grupo, “(…)os editais deveriam consignar expressamente as condições mínimas para que as propostas sejam consideradas exequíveis, proibindo propostas com lucro e despesas administrativas iguais a zero, entre outros, em razão de esse percentual englobar os impostos e contribuições não repercutíveis (IR, CSLL). Registre-se que o grupo não determinou quais seriam as condições mínimas ideais, de modo que deverá ser realizado estudo para determiná-las e, assim, possibilitar a implementação dessa proposta.”________________________________________________________________________________________________________________</t>
        </r>
      </text>
    </comment>
    <comment ref="F110" authorId="0">
      <text>
        <r>
          <rPr>
            <sz val="10"/>
            <color rgb="FF000000"/>
            <rFont val="Arial"/>
            <family val="2"/>
            <charset val="1"/>
          </rPr>
          <t>(Acórdão 325/2007-TCU-Plenário).</t>
        </r>
        <r>
          <rPr>
            <b/>
            <sz val="10"/>
            <color rgb="FF000000"/>
            <rFont val="Arial"/>
            <family val="2"/>
            <charset val="1"/>
          </rPr>
          <t>Não há vedação legal</t>
        </r>
        <r>
          <rPr>
            <sz val="10"/>
            <color rgb="FF000000"/>
            <rFont val="Arial"/>
            <family val="2"/>
            <charset val="1"/>
          </rPr>
          <t>à atuação, por parte de empresas contratadas pela Administração Pública Federal,</t>
        </r>
        <r>
          <rPr>
            <b/>
            <sz val="10"/>
            <color rgb="FF000000"/>
            <rFont val="Arial"/>
            <family val="2"/>
            <charset val="1"/>
          </rPr>
          <t>sem margem de lucro ou com margem de lucro mínima</t>
        </r>
        <r>
          <rPr>
            <sz val="10"/>
            <color rgb="FF000000"/>
            <rFont val="Arial"/>
            <family val="2"/>
            <charset val="1"/>
          </rPr>
          <t>, pois tal fato depende da estratégia comercial da empresa e não conduz, necessariamente, à inexecução da proposta
2. A desclassificação de proposta por inexequibilidade deve ser objetivamente demonstrada, a partir de critérios previamente publicados (Acórdãos 2.528/2012 e 1.092/2013, ambos do Plenário)
------------------------------------------------------------------------------------------------------------------------------------------
Mas em outro acórdão o TCU deliberou o seguinte:
Vale destacar que a questão foi abordada no Acórdão nº 1.214/13-Plenário, em sede de representação formulada a partir de trabalho realizado por grupo de estudos, constituído com o objetivo de apresentar proposições de melhorias nos procedimentos relativos à terceirização de serviços continuados na Administração Pública Federal. Um dos problemas apontados naquela ocasião foi justamente a dificuldade enfrentada pela Administração no exame de exequibilidade das propostas, em razão da ausência de parâmetros seguros de análise.
De acordo coma conclusão do grupo, “(…)</t>
        </r>
        <r>
          <rPr>
            <b/>
            <sz val="10"/>
            <color rgb="FF000000"/>
            <rFont val="Arial"/>
            <family val="2"/>
            <charset val="1"/>
          </rPr>
          <t>os editais deveriam consignar expressamente as condições mínimas para que as propostas sejam consideradas exequíveis, proibindo propostas com lucro e despesas administrativas iguais a zero</t>
        </r>
        <r>
          <rPr>
            <sz val="10"/>
            <color rgb="FF000000"/>
            <rFont val="Arial"/>
            <family val="2"/>
            <charset val="1"/>
          </rPr>
          <t>, entre outros, em razão de esse percentual englobar os impostos e contribuições não repercutíveis (IR, CSLL). Registre-se que o grupo não determinou quais seriam as condições mínimas ideais, de modo que deverá ser realizado estudo para determiná-las e, assim, possibilitar a implementação dessa proposta.”
------------------------------------------------------------------------------------------------------------------------------------------</t>
        </r>
        <r>
          <rPr>
            <b/>
            <sz val="10"/>
            <color rgb="FFFF0000"/>
            <rFont val="Arial"/>
            <family val="2"/>
            <charset val="1"/>
          </rPr>
          <t>Conclusão:
Melhor solução, estabelecer nos Editais com base em estudos percentuais minímos de lucros e custos indiretos</t>
        </r>
      </text>
    </comment>
    <comment ref="G113" authorId="0">
      <text>
        <r>
          <rPr>
            <sz val="10"/>
            <color rgb="FF000000"/>
            <rFont val="Arial"/>
            <family val="2"/>
            <charset val="1"/>
          </rPr>
          <t>Empresas Lucro Presumido:
PIS: 0,65% / COFINS: 3,00%
Empresas Lucro Real:
PIS: 1,65% / COFINS: 7,60%
Para as empresas optantes pelo Simples Nacional, a tributação varia conforme o faturamento mensal.
Soma-se os módulo 1,2,3,4,5, bem como os Custos Indiretos e o Lucro. Em seguida divide-se pelo Fator de Divisão, conforme a tributação aplicada (presumido,real,SIMPLES). Dessa forma, encontra-se o faturamento o qual incidirá a alíquota do PIS (PRESUMIDO).</t>
        </r>
      </text>
    </comment>
    <comment ref="G114" authorId="0">
      <text>
        <r>
          <rPr>
            <sz val="10"/>
            <color rgb="FF000000"/>
            <rFont val="Arial"/>
            <family val="2"/>
            <charset val="1"/>
          </rPr>
          <t>Empresas Lucro Presumido:
PIS: 0,65% / COFINS: 3,00%
Empresas Lucro Real:
PIS: 1,65% / COFINS: 7,60%
Para as empresas optantes pelo Simples Nacional, a tributação varia conforme o faturamento mensal.
Soma-se os módulo 1,2,3,4,5, bem como os Custos Indiretos e o Lucro. Em seguida divide-se pelo Fator de Divisão, conforme a tributação aplicada (presumido,real,SIMPLES). Dessa forma, encontra-se o faturamento o qual incidirá a alíquota do COFINS (PRESUMIDO).</t>
        </r>
      </text>
    </comment>
    <comment ref="G116" authorId="0">
      <text>
        <r>
          <rPr>
            <sz val="10"/>
            <color rgb="FF000000"/>
            <rFont val="Arial"/>
            <family val="2"/>
            <charset val="1"/>
          </rPr>
          <t>SANTOS DUMONT 3% (PODE VARIAR CONFORME MUNICÍPIO)
ALÍQUOTAS  SIMPLES, CONFORME TABELA A SEGUIR:
Antigo Anexo III do Simples Nacional (alterada em 2018)
Receita Bruta em 12 meses (em R$)	Alíquota Total	IRPJ	CSLL	COFINS	PIS	CPP	ISS
De R$ 0,00 a R$ 180.000,00            	6,00%	0,00%	0,00%	0,00%	0,00%	4,00%	2,00%
De R$ 180.000,01 a R$ 360.000,00 	8,21%	0,00%	0,00%	1,42%	0,00%	4,00%	2,79%
De R$ 360.000,01 a R$ 540.000,00 	10,26%	0,48%	0,43%	1,43%	0,35%	4,07%	3,50%
De R$ 540.000,01 a R$ 720.000,00 	11,31%	0,53%	0,53%	1,56%	0,38%	4,47%	3,84%
De R$ 720.000,01 a R$ 900.000,00 	11,40%	0,53%	0,52%	1,58%	0,38%	4,52%	3,87%
De R$ 900.000,01 a R$ 1.080.000,00 	12,42%	0,57%	0,57%	1,73%	0,40%	4,92%	4,23%
De R$ 1.080.000,01 a R$ 1.260.000,00 	12,54%	0,59%	0,56%	1,74%	0,42%	4,97%	4,26%
De R$ 1.260.000,01 a R$ 1.440.000,00 	12,68%	0,59%	0,57%	1,76%	0,42%	5,03%	4,31%
De R$ 1.440.000,01 a R$ 1.620.000,00 	13,55%	0,63%	0,61%	1,88%	0,45%	5,37%	4,61%
De R$ 1.620.000,01 a R$ 1.800.000,00 	13,68%	0,63%	0,64%	1,89%	0,45%	5,42%	4,65%
De R$ 1.800.000,01 a R$ 1.980.000,00 	14,93%	0,69%	0,69%	2,07%	0,50%	5,98%	5,00%
De R$ 1.980.000,01 a R$ 2.160.000,00 	15,06%	0,69%	0,69%	2,09%	0,50%	6,09%	5,00%
De R$ 2.160.000,01 a R$ 2.340.000,00 	15,20%	0,71%	0,70%	2,10%	0,50%	6,19%	5,00%
De R$ 2.340.000,01 a R$ 2.520.000,00 	15,35%	0,71%	0,70%	2,13%	0,51%	6,30%	5,00%
De R$ 2.520.000,01 a R$ 2.700.000,00 	15,48%	0,72%	0,70%	2,15%	0,51%	6,40%	5,00%
De R$ 2.700.000,01 a R$ 2.880.000,00 	16,85%	0,78%	0,76%	2,34%	0,56%	7,41%	5,00%
De R$ 2.880.000,01 a R$ 3.060.000,00 	16,98%	0,78%	0,78%	2,36%	0,56%	7,50%	5,00%
De R$ 3.060.000,01 a R$ 3.240.000,00 	17,13%	0,80%	0,79%	2,37%	0,57%	7,60%	5,00%
De R$ 3.240.000,01 a R$ 3.420.000,00 	17,27%	0,80%	0,79%	2,40%	0,57%	7,71%	5,00%
De R$ 3.420.000,01 a R$ 3.600.000,00 	17,42%	0,81%	0,79%	2,42%	0,57%	7,83%	5,00%</t>
        </r>
        <r>
          <rPr>
            <b/>
            <sz val="10"/>
            <color rgb="FF000000"/>
            <rFont val="Arial"/>
            <family val="2"/>
            <charset val="1"/>
          </rPr>
          <t>É aconselhável buscar auxilio do setor contábil do órgão para aferição dos tributos.</t>
        </r>
      </text>
    </comment>
    <comment ref="B133" authorId="0">
      <text>
        <r>
          <rPr>
            <sz val="10"/>
            <color rgb="FF000000"/>
            <rFont val="Arial"/>
            <family val="2"/>
            <charset val="1"/>
          </rPr>
          <t>Serviços de Limpeza devem usar o Quadro 6 da Planilha modelo da IN  05/2017 ( esta planilha já está configurada na aba por M²).
Serviços de Vigilância devem usar o quadro 5 da  da Planilha modelo da IN  05/2017</t>
        </r>
      </text>
    </comment>
  </commentList>
</comments>
</file>

<file path=xl/comments5.xml><?xml version="1.0" encoding="utf-8"?>
<comments xmlns="http://schemas.openxmlformats.org/spreadsheetml/2006/main">
  <authors>
    <author>Autor</author>
  </authors>
  <commentList>
    <comment ref="A3" authorId="0">
      <text>
        <r>
          <rPr>
            <sz val="10"/>
            <color rgb="FF000000"/>
            <rFont val="Arial"/>
            <family val="2"/>
            <charset val="1"/>
          </rPr>
          <t>ESSAS INFORMAÇÕES DEVEM SER REPASSADAS VIA EMAIL PELO SETOR DE LICITAÇÃO</t>
        </r>
      </text>
    </comment>
    <comment ref="H27" authorId="0">
      <text>
        <r>
          <rPr>
            <sz val="10"/>
            <color rgb="FF000000"/>
            <rFont val="Arial"/>
            <family val="2"/>
            <charset val="1"/>
          </rPr>
          <t>COLOCAR O VALOR DA CCT MAS DEIXAR ABERTO PARA FORNECEDOR ALTERAR “ SÓ PODE SER MAIOR QUE A CCT”</t>
        </r>
      </text>
    </comment>
    <comment ref="B28" authorId="0">
      <text>
        <r>
          <rPr>
            <sz val="10"/>
            <color rgb="FF000000"/>
            <rFont val="Arial"/>
            <family val="2"/>
            <charset val="1"/>
          </rPr>
          <t>Previsto em legislação ou acordo coletivo para trabalhos que impliquem em condições de risco à saúde ou integridade física do trabalhador.
30% sobre o salário base.</t>
        </r>
      </text>
    </comment>
    <comment ref="D28" authorId="0">
      <text>
        <r>
          <rPr>
            <sz val="10"/>
            <color rgb="FF000000"/>
            <rFont val="Arial"/>
            <family val="2"/>
            <charset val="1"/>
          </rPr>
          <t>Selecionar:
*Com Periculosidade
* Sem Periculosidade</t>
        </r>
      </text>
    </comment>
    <comment ref="E28" authorId="0">
      <text>
        <r>
          <rPr>
            <sz val="10"/>
            <color rgb="FF000000"/>
            <rFont val="Arial"/>
            <family val="2"/>
            <charset val="1"/>
          </rPr>
          <t>Selecionar 0% quando não houver Periculosidade e 30% quando incidir</t>
        </r>
      </text>
    </comment>
    <comment ref="B29" authorId="0">
      <text>
        <r>
          <rPr>
            <sz val="10"/>
            <color rgb="FF000000"/>
            <rFont val="Arial"/>
            <family val="2"/>
            <charset val="1"/>
          </rPr>
          <t>O salário de referência para cálculo do seu custo é o salário mínimo estadual ou o nacional ou o salário normativo da categoria se expressamente estabelecido no acordo ou convenção coletiva.
São operações que, por sua natureza, condições ou métodos de trabalho, exponham os empregados a agentes nocivos à saúde, acima dos limites de tolerância fixados em razão da natureza e da intensidade do agente e do tempo de exposição aos seus efeitos. (Art. 189, CLT)
Grau máximo: 40%;
Grau médio: 20%;
Grau mínimo: 10%.</t>
        </r>
      </text>
    </comment>
    <comment ref="B31" authorId="0">
      <text>
        <r>
          <rPr>
            <sz val="10"/>
            <color rgb="FF000000"/>
            <rFont val="Arial"/>
            <family val="2"/>
            <charset val="1"/>
          </rPr>
          <t>Verificar as auterações trazidas pela Reforma Trabalhista – Á principio aguardar as Novas CCT´s
Conferido ao trabalhador por trabalho executado entre as 22 horas de um dia e as 5 horas do dia seguinte.
Remunerado com adicional de, pelo menos, 20% sobre a hora diurna.
Adicional noturno para 1 hora trabalhada = Valor da hora diurna X 20%
Valor da hora diurna = Salário base / Total de horas trabalhadas no mês
O total de horas trabalhadas no mês calcula-se considerando 5 semanas de trabalho, conforme determinação do MTE.
Exemplo:
Salário: R$2.200,00
Valor da hora diurna: 2.200,00 / 220 horas (jornada de 44 horas semanais) = R$10,00
Adicional noturno para 1 hora trabalhada = 10,00 X 20% = R$2,00</t>
        </r>
      </text>
    </comment>
    <comment ref="D31" authorId="0">
      <text>
        <r>
          <rPr>
            <sz val="10"/>
            <color rgb="FF000000"/>
            <rFont val="Arial"/>
            <family val="2"/>
            <charset val="1"/>
          </rPr>
          <t>Selecionar entre:
Mínimo
Médio 
Máximo
Sem Insalubridade</t>
        </r>
      </text>
    </comment>
    <comment ref="E31" authorId="0">
      <text>
        <r>
          <rPr>
            <sz val="10"/>
            <color rgb="FF000000"/>
            <rFont val="Arial"/>
            <family val="2"/>
            <charset val="1"/>
          </rPr>
          <t>Selecionar entre:
0%
10%
20%
40%
E o valor da Insalubridade será calculado sobre o valor da salário</t>
        </r>
      </text>
    </comment>
    <comment ref="F31" authorId="0">
      <text>
        <r>
          <rPr>
            <sz val="10"/>
            <color rgb="FF000000"/>
            <rFont val="Arial"/>
            <family val="2"/>
            <charset val="1"/>
          </rPr>
          <t>Digitar valo do Salário Mínimo ou o da Categoria se expressamente estabelecido em Convenção Coletiva</t>
        </r>
      </text>
    </comment>
    <comment ref="B32" authorId="0">
      <text>
        <r>
          <rPr>
            <sz val="10"/>
            <color rgb="FF000000"/>
            <rFont val="Arial"/>
            <family val="2"/>
            <charset val="1"/>
          </rPr>
          <t>Corresponde a 52 minutos e 30 segundos.
A hora noturna adicional corresponde à diferença da hora noturna menos a hora normal.
Hora noturna = Hora normal X (60/52,5)
Hora noturna = Hora normal X 1,14285714
Exemplo:
Salário: R$2.200,00
Valor da hora diurna: 2.200,00 / 220 horas (jornada de 44 horas semanais) = R$10,00
Hora noturna = 10,00 X 1,14285714 = R$11,42
Hora noturna adicional = Hora noturna – Hora normal
Hora noturna adicional = (11,42 X 20%) - (R$10,00 X 20%) = 2,286 – 2,00 = 0,286</t>
        </r>
      </text>
    </comment>
    <comment ref="H33" authorId="0">
      <text>
        <r>
          <rPr>
            <b/>
            <sz val="9"/>
            <color indexed="81"/>
            <rFont val="Tahoma"/>
            <family val="2"/>
          </rPr>
          <t>UFERSA:O adicional noturno influenciará no repouso semanal remunerado, portando para compensar o descanso semanal decorrente do labor noturno, o empregado também terá reflexo em seu descanso remunerado de adicional noturno.  Em decorrência do valor do posto ser mensal, ou seja de um mês qualquer, os dias úteis, domingos e feriados foram tomados como uma média mensal dentro de um período de um ano (2018). Adotamos como o fator multiplicador de 0,229 , igual à (1/média de dias úteis 2018)xmédia de feriados e domingos em  2018.</t>
        </r>
        <r>
          <rPr>
            <sz val="9"/>
            <color indexed="81"/>
            <rFont val="Tahoma"/>
            <family val="2"/>
          </rPr>
          <t xml:space="preserve">
</t>
        </r>
      </text>
    </comment>
    <comment ref="B35" authorId="0">
      <text>
        <r>
          <rPr>
            <sz val="10"/>
            <color rgb="FF000000"/>
            <rFont val="Arial"/>
            <family val="2"/>
            <charset val="1"/>
          </rPr>
          <t>Relativo ao trabalho realizado além da jornada diária regular estabelecida, com acréscimo de no mínimo 50% do valor da hora normal para trabalho extra (entre segunda e sábado) e de 100% em domingos e feriados.
Não pode ser maior do que 2 horas diárias. (Art. 59, CLT)</t>
        </r>
      </text>
    </comment>
    <comment ref="B41" authorId="0">
      <text>
        <r>
          <rPr>
            <b/>
            <sz val="10"/>
            <color rgb="FF000000"/>
            <rFont val="Arial"/>
            <family val="2"/>
            <charset val="1"/>
          </rPr>
          <t>Cálculo de acordo com o Manual para preenchimento de Planilha do MPOG de 2011</t>
        </r>
        <r>
          <rPr>
            <sz val="10"/>
            <color rgb="FF000000"/>
            <rFont val="Arial"/>
            <family val="2"/>
            <charset val="1"/>
          </rPr>
          <t>Considerando que na duração do contrato de 60 meses o empregado tem 5 meses de férias e labora em 56 meses:
(5/56) x 100 = 8,93%;</t>
        </r>
        <r>
          <rPr>
            <b/>
            <sz val="10"/>
            <color rgb="FF000000"/>
            <rFont val="Arial"/>
            <family val="2"/>
            <charset val="1"/>
          </rPr>
          <t>Cálculo de acordo com o Caderno de Logistica/ Serviços de limpeza  MPOG de 2014</t>
        </r>
        <r>
          <rPr>
            <sz val="10"/>
            <color rgb="FF000000"/>
            <rFont val="Arial"/>
            <family val="2"/>
            <charset val="1"/>
          </rPr>
          <t>Para os contratos de 1 ano (12 meses) o empregado trabalha 12 meses e tem direito a 1 mês de férias, o que significa:
(1/12) x 100 = 8,33%.
Por derradeiro a IN 05/2017, trouxe o seguinte texto
Nota 1: Como a planilha de custos e formação de preços é calculada mensalmente, provisiona-se
proporcionalmente 1/12 (um doze avos) dos valores referentes a gratificação natalina e adicional
de férias.</t>
        </r>
        <r>
          <rPr>
            <b/>
            <sz val="10"/>
            <color rgb="FF000000"/>
            <rFont val="Arial"/>
            <family val="2"/>
            <charset val="1"/>
          </rPr>
          <t>( No meu entendimento definiu que o percentual do 13° é de 8,33% ), 
MAS É NECESSÁRIO ESPERAR SAIR O MANUAL DE PREENCHIMENTO DA PLANILHA, TÃO PROMETIDO PARA  SE BATER O MARTELO, POIS COSTUMA UMA PUBLICAÇÃO NÃO BATER COM A OUTRA, SÓ PARA VARIAR.</t>
        </r>
      </text>
    </comment>
    <comment ref="G41" authorId="0">
      <text>
        <r>
          <rPr>
            <b/>
            <sz val="9"/>
            <color rgb="FF000000"/>
            <rFont val="Tahoma"/>
            <family val="2"/>
            <charset val="1"/>
          </rPr>
          <t>Usuário do Windows:</t>
        </r>
        <r>
          <rPr>
            <sz val="9"/>
            <color rgb="FF000000"/>
            <rFont val="Tahoma"/>
            <family val="2"/>
            <charset val="1"/>
          </rPr>
          <t>8,33% ou 8,93% Ler comentário na descrição do item 13º SALÁRIO ao lado</t>
        </r>
      </text>
    </comment>
    <comment ref="B42" authorId="0">
      <text>
        <r>
          <rPr>
            <sz val="10"/>
            <color rgb="FF000000"/>
            <rFont val="Arial"/>
            <family val="2"/>
            <charset val="1"/>
          </rPr>
          <t>.( Art. 129,Art. 130, inciso I da CLT e Art. 7° , inciso XCII da CF/88 [=(1/12)+(1/3)/12]</t>
        </r>
        <r>
          <rPr>
            <b/>
            <sz val="10"/>
            <color rgb="FF000000"/>
            <rFont val="Arial"/>
            <family val="2"/>
            <charset val="1"/>
          </rPr>
          <t>Quando é retido a conta vinculada o calculo deve ser [</t>
        </r>
        <r>
          <rPr>
            <sz val="10"/>
            <color rgb="FF000000"/>
            <rFont val="Arial"/>
            <family val="2"/>
            <charset val="1"/>
          </rPr>
          <t>=(1/11)+(1/3/11) que dá os 12,10% retidos na conta vinculada (calculo CNJ).
A IN 05/2017, trouxe o seguinte texto com relação ao módulo 2.1
Nota 1: Como a planilha de custos e formação de preços é calculada mensalmente, provisiona-se
proporcionalmente 1/12 (um doze avos) dos valores referentes a gratificação natalina e adicional
de férias.</t>
        </r>
        <r>
          <rPr>
            <b/>
            <sz val="10"/>
            <color rgb="FF000000"/>
            <rFont val="Arial"/>
            <family val="2"/>
            <charset val="1"/>
          </rPr>
          <t>( No meu entendimento definiu que o percentual do 13° é de 8,33% ),</t>
        </r>
        <r>
          <rPr>
            <b/>
            <u/>
            <sz val="10"/>
            <color rgb="FF000000"/>
            <rFont val="Arial"/>
            <family val="2"/>
            <charset val="1"/>
          </rPr>
          <t>MAS É NECESSÁRIO ESPERAR SAIR O MANUAL DE PREENCHIMENTO DA PLANILHA, TÃO PROMETIDO PARA BATER O MARTELO, POIS COSTUMA UMA PUBLICAÇÃO NÃO BATER COM A OUTRA, SÓ PARA VARIAR.</t>
        </r>
        <r>
          <rPr>
            <sz val="10"/>
            <color rgb="FF000000"/>
            <rFont val="Arial"/>
            <family val="2"/>
            <charset val="1"/>
          </rPr>
          <t>Nota 2: O adicional de férias contido no Submódulo 2.1 corresponde a 1/3 (um terço) da
remuneração que por sua vez é divido por 12 (doze) conforme Nota 1 acima.</t>
        </r>
        <r>
          <rPr>
            <b/>
            <sz val="10"/>
            <color rgb="FF000000"/>
            <rFont val="Arial"/>
            <family val="2"/>
            <charset val="1"/>
          </rPr>
          <t>( Desta forma também defini que o percentual das férias seria 1/12 * 1/3 que corresponde a 11,11% , mas na cartilha da conta vinculada lançada em fevereiro de 2018, continua 12,10% para ser retido e pago na conta vinculada referente a provisão de férias e 1/3)</t>
        </r>
        <r>
          <rPr>
            <b/>
            <u/>
            <sz val="10"/>
            <color rgb="FF000000"/>
            <rFont val="Arial"/>
            <family val="2"/>
            <charset val="1"/>
          </rPr>
          <t>PORTANTO SE FAZ NECESSÁRIO CONTINUAR USANDO O CALCULO DO CNJ DE 12,10% EM CONTRATOS QUE UTILIZEM CONTA VINCULADA, POIS COMO PODERIAMOS RETER UM VALOR QUE NÃO ESTÁ PROVISIONADO NA PLANILHA)</t>
        </r>
      </text>
    </comment>
    <comment ref="G42" authorId="0">
      <text>
        <r>
          <rPr>
            <b/>
            <sz val="9"/>
            <color rgb="FF000000"/>
            <rFont val="Tahoma"/>
            <family val="2"/>
            <charset val="1"/>
          </rPr>
          <t>Usuário do Windows:</t>
        </r>
        <r>
          <rPr>
            <sz val="9"/>
            <color rgb="FF000000"/>
            <rFont val="Tahoma"/>
            <family val="2"/>
            <charset val="1"/>
          </rPr>
          <t>11,11% ou 12,10% Ler comentário na descrição do item FÉRIAS ao lado</t>
        </r>
      </text>
    </comment>
    <comment ref="B46" authorId="0">
      <text>
        <r>
          <rPr>
            <sz val="10"/>
            <color rgb="FF000000"/>
            <rFont val="Arial"/>
            <family val="2"/>
            <charset val="1"/>
          </rPr>
          <t>Contribuição de 20% sobre o total das remunerações destinada à Seguridade Social, conforme determina a Lei 8.212/91.</t>
        </r>
      </text>
    </comment>
    <comment ref="B47" authorId="0">
      <text>
        <r>
          <rPr>
            <sz val="10"/>
            <color rgb="FF000000"/>
            <rFont val="Arial"/>
            <family val="2"/>
            <charset val="1"/>
          </rPr>
          <t>Contribuições sociais destinadas ao Serviço Social da Indústria (SESI) e ao Serviço Social do Comércio (SESC). As empresas optantes pelo Simples Nacional são isentas. Para as demais empresas fica determinado o percentual de 1,5%.</t>
        </r>
      </text>
    </comment>
    <comment ref="D47" authorId="0">
      <text>
        <r>
          <rPr>
            <sz val="10"/>
            <color rgb="FF000000"/>
            <rFont val="Arial"/>
            <family val="2"/>
            <charset val="1"/>
          </rPr>
          <t>Usuário do Windows:
EMPRESAS OPTATANTES PELO SIMPLES ESTÃO ISENTAS DO PAGAMENTO DAS SEGUINTES CONTRIBUIÇÕES:  SESI ou SESC, SENAI ou SENAC, INCRA, Salário-Educação, SEBRAE, Portanto devem ser zeradas na Planilha.
Empresas de sessão de mão de obra não podem ser optantes pelo Simples com excessão das empresas que prestam serviços de serviços de vigilância, limpeza ou conservação desde que não exerçam em conjunto com outras atividades vedadas,c) Regime de Tributação – SIMPLES –Regime Especial Unificado de Arrecadação de Tributos e Contribuições – Microempresas (MEs) e Empresas de Pequeno Porte (EPPs) O SIMPLES consiste em um regime especial unificado de arrecadação de Tributos e Contribuições devidos pelas Microempresas e Empresas de Pequeno Porte, instituído pela Lei Complementar nº 123, de 14 de dezembro de 2006. Lembramos ainda que as microempresas e empresas de pequeno porte optantes pelo Simples Nacional ficam dispensadas do pagamento das demais contribuições instituídas pela União, tais como SESI ou SESC, SENAI ou SENAC, INCRA, Salário-Educação, SEBRAE, conforme expressa previsão legal contida no art. 13, § 3º da Lei Complementar nº 123/2006: § 3º  As microempresas e empresas de pequeno porte optantes pelo Simples Nacional ficam dispensadas do pagamento das demais contribuições instituídas pela União, inclusive as contribuições para as entidades privadas de serviço social e de formação profissional vinculadas ao sistema sindical, de que trata o art. 240 da Constituição Federal, e demais entidades de serviço social autônomo. Nem todas as microempresas ou empresas de pequeno porte poderão recolher os impostos e contribuições na forma do Simples, como por exemplo, as empresas que exercem atividade de cessão ou locação de mão de obra8. As vedações ao ingresso no Simples Nacional estão previstas no art. 17 da Lei Complementar nº 123/2006. 
8 Entende-se por cessão de mão de obra a colocação à disposição da empresa contratante, em suas dependências ou nas de terceiros, de trabalhadores que realizem serviços contínuos, relacionados ou não com sua atividade fim, quaisquer que sejam a natureza e a forma de contratação, inclusive por meio de trabalho temporário na forma da Lei nº 6.019, de 3 de janeiro de 1974. (art.115 Instrução Normativa RFB nº 971, de 13 de novembro de 2009)
117
CAPÍTULO VI – COMPOSIÇÃO DA PLANILHA DE CUSTO E FORMAÇÃO DE PREÇO 
Art. 17. Não poderão recolher os impostos e contribuições na forma do Simples Nacional a microempresa ou a empresa de pequeno porte: (...) XII – que realize cessão ou locação de mão de obra; É importante ressaltar que as vedações previstas no caput do art. 17 da LC nº 123/2006 não se aplicam às pessoas jurídicas que se dediquem exclusivamente às atividades referidas nos §§ 5o-B a 5o-E do art. 18 da Lei Complementar multicitada, ou as exerçam em conjunto com outras atividades que não tenham sido objeto de vedação no mesmo caput. Não se incluem nas vedações, por exemplo, as empresas que prestam serviços de vigilância, limpeza ou conservação desde que não exerçam em conjunto com outras atividades vedadas.
LC 123/2006 – §§ 5o-B a 5o-E do art. 18 da Lei Complementar nº 123/2006 § 5º-H.  A vedação de que trata o inciso XII do caput do art. 17 desta Lei Complementar não se aplica às atividades referidas no § 5º-C deste artigo. (Incluído pela Lei Complementar nº 128, de 2008) § 5º-C.  Sem prejuízo do disposto no § 1º do art. 17 desta Lei Complementar, as atividades de prestação de serviços seguintes serão tributadas na forma do Anexo IV desta Lei Complementar, hipótese em que não estará incluída no Simples Nacional a contribuição prevista no inciso VI do caput do art. 13 desta Lei Complementar, devendo ela ser recolhida segundo a legislação prevista para os demais contribuintes ou responsáveis: (Incluído pela Lei Complementar nº 128, de 2008) (...) VI – serviço de vigilância, limpeza ou conservação. (Incluído pela Lei Complementar nº 128, de 2008)</t>
        </r>
      </text>
    </comment>
    <comment ref="G47" authorId="0">
      <text>
        <r>
          <rPr>
            <sz val="9"/>
            <color rgb="FF000000"/>
            <rFont val="Tahoma"/>
            <family val="2"/>
            <charset val="1"/>
          </rPr>
          <t>Zerar se for optante pelo simples</t>
        </r>
      </text>
    </comment>
    <comment ref="B48" authorId="0">
      <text>
        <r>
          <rPr>
            <sz val="10"/>
            <color rgb="FF000000"/>
            <rFont val="Arial"/>
            <family val="2"/>
            <charset val="1"/>
          </rPr>
          <t>Contribuição ao Serviço Nacional de Aprendizagem Industrial (SENAI) e ao Serviço Nacional de Aprendizagem Comercial (SENAC). As empresas optantes pelo Simples Nacional são isentas. Para as demais empresas com menos de 500 empregados a incidência é de 1% e para as empresas com mais de 500 empregados a incidência é de 1,2%.</t>
        </r>
      </text>
    </comment>
    <comment ref="G48" authorId="0">
      <text>
        <r>
          <rPr>
            <b/>
            <sz val="9"/>
            <color rgb="FF000000"/>
            <rFont val="Tahoma"/>
            <family val="2"/>
            <charset val="1"/>
          </rPr>
          <t>Usuário do Windo</t>
        </r>
        <r>
          <rPr>
            <sz val="9"/>
            <color rgb="FF000000"/>
            <rFont val="Tahoma"/>
            <family val="2"/>
            <charset val="1"/>
          </rPr>
          <t>Zerar se for optante pelo simples</t>
        </r>
      </text>
    </comment>
    <comment ref="B49" authorId="0">
      <text>
        <r>
          <rPr>
            <sz val="10"/>
            <color rgb="FF000000"/>
            <rFont val="Arial"/>
            <family val="2"/>
            <charset val="1"/>
          </rPr>
          <t>Contribuição ao Instituto Nacional de Colonização e Reforma Agrária. As empresas optantes pelo Simples Nacional são isentas e as demais empresas pagam um percentual de 0,2%.</t>
        </r>
      </text>
    </comment>
    <comment ref="G49" authorId="0">
      <text>
        <r>
          <rPr>
            <b/>
            <sz val="9"/>
            <color rgb="FF000000"/>
            <rFont val="Tahoma"/>
            <family val="2"/>
            <charset val="1"/>
          </rPr>
          <t>Usuário do Windows:</t>
        </r>
        <r>
          <rPr>
            <sz val="9"/>
            <color rgb="FF000000"/>
            <rFont val="Tahoma"/>
            <family val="2"/>
            <charset val="1"/>
          </rPr>
          <t>Zerar se for optante pelo simples</t>
        </r>
      </text>
    </comment>
    <comment ref="B50" authorId="0">
      <text>
        <r>
          <rPr>
            <sz val="10"/>
            <color rgb="FF000000"/>
            <rFont val="Arial"/>
            <family val="2"/>
            <charset val="1"/>
          </rPr>
          <t>Contribuição social destinada ao financiamento da educação básica nos termos da Constituição Federal à base de 2,5%. As empresas optantes pelo Simples Nacional são isentas.</t>
        </r>
      </text>
    </comment>
    <comment ref="G50" authorId="0">
      <text>
        <r>
          <rPr>
            <b/>
            <sz val="9"/>
            <color rgb="FF000000"/>
            <rFont val="Tahoma"/>
            <family val="2"/>
            <charset val="1"/>
          </rPr>
          <t>Usuário do Windows:</t>
        </r>
        <r>
          <rPr>
            <sz val="9"/>
            <color rgb="FF000000"/>
            <rFont val="Tahoma"/>
            <family val="2"/>
            <charset val="1"/>
          </rPr>
          <t>Zerar se for optante pelo simples</t>
        </r>
      </text>
    </comment>
    <comment ref="B51" authorId="0">
      <text>
        <r>
          <rPr>
            <sz val="10"/>
            <color rgb="FF000000"/>
            <rFont val="Arial"/>
            <family val="2"/>
            <charset val="1"/>
          </rPr>
          <t>O Fundo de Garantia do Tempo de Serviço (FGTS) constitui-se em um pecúlio disponibilizado quando da aposentadoria ou morte do trabalhador e representa uma garantia para a indenização do tempo de serviço nos casos de demissão imotivada. É garantido pela Constituição Federal à base de 8%.</t>
        </r>
      </text>
    </comment>
    <comment ref="B52" authorId="0">
      <text>
        <r>
          <rPr>
            <sz val="10"/>
            <color rgb="FF000000"/>
            <rFont val="Arial"/>
            <family val="2"/>
            <charset val="1"/>
          </rPr>
          <t>Contribuição destinada a custear benefícios concedidos em razão do grau de incidência de incapacidade laborativa decorrentes dos riscos ambientais do trabalho. Pode ser estabelecido em:
SEG.ACID.TRAB. FAP X RAT ( Art. 22,II, da Lei n° 8.212/91).Alíquotas do SAT em função do FAP(Decreto n° 6.042/07 e n° 6.957/09).Fap(Anexo da RESOLUÇÃO mps/cnps n° 1.316/10)=alíquota do FAPx perc. Do SAT
Esses Perecentuais devem ser conferidos pelo pregoeiro e equipe de apoio, com base na GFIP
1% quando o risco de acidentes do trabalho for considerado leve.
2% quando o risco de acidentes do trabalho for considerado médio.
3% quando o risco de acidentes do trabalho for considerado grave.</t>
        </r>
      </text>
    </comment>
    <comment ref="G52" authorId="0">
      <text>
        <r>
          <rPr>
            <b/>
            <sz val="9"/>
            <color rgb="FF000000"/>
            <rFont val="Tahoma"/>
            <family val="2"/>
            <charset val="1"/>
          </rPr>
          <t>Usuário do Windows:</t>
        </r>
        <r>
          <rPr>
            <sz val="9"/>
            <color rgb="FF000000"/>
            <rFont val="Tahoma"/>
            <family val="2"/>
            <charset val="1"/>
          </rPr>
          <t>JURISPRUDÊNCIA - TCU (Acórdão  2.554/2010 - Primeira Câmara) 
7. Com relação aos itens de custo não cotados ou cotados a menor pela empresa vencedora do certame (como o “Seguro de Acidente de Trabalho”, a “Assistência Social Familiar Sindical”, a “Assistência Social” e os benefícios indiretos concedidos pelas empresas aos empregados),</t>
        </r>
        <r>
          <rPr>
            <b/>
            <sz val="9"/>
            <color rgb="FF000000"/>
            <rFont val="Tahoma"/>
            <family val="2"/>
            <charset val="1"/>
          </rPr>
          <t>não chegam a invalidar a proposta da licitante, mas devem ser objeto de acompanhamento pelo CBPF,</t>
        </r>
        <r>
          <rPr>
            <sz val="9"/>
            <color rgb="FF000000"/>
            <rFont val="Tahoma"/>
            <family val="2"/>
            <charset val="1"/>
          </rPr>
          <t>com a verificação do cumprimento, pela contratada, de suas obrigações trabalhistas em conformidade com a legislação, de forma a resguardar a Administração de eventual responsabilização solidária</t>
        </r>
        <r>
          <rPr>
            <b/>
            <sz val="9"/>
            <color rgb="FF000000"/>
            <rFont val="Tahoma"/>
            <family val="2"/>
            <charset val="1"/>
          </rPr>
          <t>, não podendo essas obrigações importar em eventual acréscimo contratual, considerando que a empresa tem o dever de honrar sua proposta na licitação,</t>
        </r>
        <r>
          <rPr>
            <sz val="9"/>
            <color rgb="FF000000"/>
            <rFont val="Tahoma"/>
            <family val="2"/>
            <charset val="1"/>
          </rPr>
          <t>prestando os serviços contratados pelo preço acordado entre as partes</t>
        </r>
      </text>
    </comment>
    <comment ref="B53" authorId="0">
      <text>
        <r>
          <rPr>
            <sz val="10"/>
            <color rgb="FF000000"/>
            <rFont val="Arial"/>
            <family val="2"/>
            <charset val="1"/>
          </rPr>
          <t>Contribuição social repassada ao Serviço Brasileiro de Apoio à Pequena e Média Empresa (SEBRAE), destinado a custear os programas de apoio à pequena e média empresa à base de 0,6%. As empresas optantes pelo Simples Nacional são isentas.</t>
        </r>
      </text>
    </comment>
    <comment ref="G53" authorId="0">
      <text>
        <r>
          <rPr>
            <b/>
            <sz val="9"/>
            <color rgb="FF000000"/>
            <rFont val="Tahoma"/>
            <family val="2"/>
            <charset val="1"/>
          </rPr>
          <t>Usuário do Windows:</t>
        </r>
        <r>
          <rPr>
            <sz val="9"/>
            <color rgb="FF000000"/>
            <rFont val="Tahoma"/>
            <family val="2"/>
            <charset val="1"/>
          </rPr>
          <t>Zerar se for optante pelo simples</t>
        </r>
      </text>
    </comment>
    <comment ref="G60" authorId="0">
      <text>
        <r>
          <rPr>
            <sz val="10"/>
            <color rgb="FF000000"/>
            <rFont val="Arial"/>
            <family val="2"/>
            <charset val="1"/>
          </rPr>
          <t>Pode variar conforme CCT. Sempre verificar.</t>
        </r>
      </text>
    </comment>
    <comment ref="B74" authorId="0">
      <text>
        <r>
          <rPr>
            <b/>
            <sz val="9"/>
            <color rgb="FF000000"/>
            <rFont val="Tahoma"/>
            <family val="2"/>
            <charset val="1"/>
          </rPr>
          <t>Usuário do Windows:</t>
        </r>
        <r>
          <rPr>
            <sz val="9"/>
            <color rgb="FF000000"/>
            <rFont val="Tahoma"/>
            <family val="2"/>
            <charset val="1"/>
          </rPr>
          <t>FUNDAMENTAÇÃO LEGAL - Constituição Federal de 1988 (Art. 7°, inciso XXI) - CLT (Art. 477, art. 487 a 491) - Observação (1) - Aviso Prévio Indenizado – Estudos CNJ – Resolução 98/2009  Aviso Prévio indenizado - 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término do contrato de trabalho. Cálculo ((1/12)x 0,05) x 100 =0,42%.</t>
        </r>
      </text>
    </comment>
    <comment ref="B75" authorId="0">
      <text>
        <r>
          <rPr>
            <b/>
            <sz val="9"/>
            <color rgb="FF000000"/>
            <rFont val="Tahoma"/>
            <family val="2"/>
            <charset val="1"/>
          </rPr>
          <t>Usuário do Windows:</t>
        </r>
        <r>
          <rPr>
            <sz val="9"/>
            <color rgb="FF000000"/>
            <rFont val="Tahoma"/>
            <family val="2"/>
            <charset val="1"/>
          </rPr>
          <t>aplicar o percentual do FGTS sobre o Aviso Prévio Indenizado.</t>
        </r>
        <r>
          <rPr>
            <b/>
            <sz val="9"/>
            <color rgb="FF000000"/>
            <rFont val="Tahoma"/>
            <family val="2"/>
            <charset val="1"/>
          </rPr>
          <t>Ex 8% X 0,42% = 0,03%</t>
        </r>
      </text>
    </comment>
    <comment ref="B76" authorId="0">
      <text>
        <r>
          <rPr>
            <b/>
            <sz val="9"/>
            <color rgb="FF000000"/>
            <rFont val="Tahoma"/>
            <family val="2"/>
            <charset val="1"/>
          </rPr>
          <t>Usuário do Windows:</t>
        </r>
        <r>
          <rPr>
            <sz val="9"/>
            <color rgb="FF000000"/>
            <rFont val="Tahoma"/>
            <family val="2"/>
            <charset val="1"/>
          </rPr>
          <t>FUNDAMENTAÇÃO LEGAL - Jurisprudência - TCU (Acórdão 2.217/2010 – Plenário - vide apêndice pág. 52)
49 Multa do FGTS do aviso prévio indenizado: valor da multa do FGTS indenizado (40%) + contribuição social sobre o FGTS (10%), que incide sobre a alíquota do FGTS (8%) aplicado sobre o custo de referência do aviso prévio indenizado.
 FUNDAMENTAÇÃO LEGAL - Lei nº 8.036, de 11 de maio de 1990 (Art. 18 § 1º) com redação dada pela Lei nº 9.491, de 9 de setembro de 1997. - Lei Complementar nº 110, de 29 de junho de 2001. (Art. 1°) - Observação (2) - Aviso Prévio Indenizado – Estudos CNJ – Resolução 98/2009 Multa FGTS - Rescisão sem Justa Causa: A Lei Complementar nº 110, de 29 de junho de 2001, determina multa de 50%, da soma dos depósitos do FGTS, no caso de rescisão sem justa causa. Considerando que 10% dos empregados pedem contas, essa penalidade recai sobre os 90% remanescentes. Considerando o pagamento da multa para os valores depositados relativos a salários, férias e 13º salário o cálculo dessa provisão corresponde a: 0,08 x 0,5 x 0,9 x (1 + 5/56 + 5/56 + 1/3 * 5/56) = 4,35%.</t>
        </r>
      </text>
    </comment>
    <comment ref="G76" authorId="0">
      <text>
        <r>
          <rPr>
            <b/>
            <sz val="10"/>
            <color rgb="FF000000"/>
            <rFont val="Arial"/>
            <family val="2"/>
            <charset val="1"/>
          </rPr>
          <t>1°- Não havendo conta vinculada o valor de referência estabelecido no Manual de preenchimento de planilhas do MPOG é de 4,35% APT+API.
FUNDAMENTAÇÃO LEGAL -</t>
        </r>
        <r>
          <rPr>
            <sz val="10"/>
            <color rgb="FF000000"/>
            <rFont val="Arial"/>
            <family val="2"/>
            <charset val="1"/>
          </rPr>
          <t>Lei nº 8.036, de 11 de maio de 1990 (Art. 18 § 1º) com redação dada pela Lei nº 9.491, de 9 de setembro de 1997. - Lei Complementar nº 110, de 29 de junho de 2001. (Art. 1°) -Aviso Prévio Indenizado – Estudos CNJ – Resolução 98/2009 Multa FGTS - Rescisão sem Justa Causa: A Lei Complementar nº 110, de 29 de junho de 2001, determina multa de 50%, da soma dos depósitos do FGTS, no caso de rescisão sem justa causa. Considerando que 10% dos empregados pedem contas, essa penalidade recai sobre os 90% remanescentes.Considerando o pagamento da multa para os valores depositados relativos a salários, férias e 13º salário o cálculo dessa provisão corresponde a: 0,08 x 0,5 x 0,9 x (1 + 5/56 + 5/56 + 1/3 * 5/56) = 4,35%.Onde 0,08 Corresponde ao % dop FGTS;  0,5 é os 50% da multa FGTS ; 0,9 corresponde é o percentual de funcionários que são demitidos sem justa causa;( 1 representa uma remuneração; 5/56 representa 5 meses de férias que um funcionário dentro de um periodo de 56 meses este raciocionio vale para férias e 13° e por fim 1/3 de 5/56 que é um terço constitucional de féria).
---------------------------------------------------------------------------------------------------------------------
2° Quando for exigido conta vinculada :Conforme orientações do MPOG, Quando houver conta vinculada, tanto para o Aviso Prévio Trabalhado quanto para o Aviso Prévio Indenizado, a porcentagem que irá incidir é de 5% soma dos dois avisos (API+APT) sobre o custo de referência.
E também foi orientado que está correto o raciocínio de ponderar os 5% entre o API e o APT, não precisando ser exatamente 50% pra cada. Isso dependerá das características intrínsecas de cada empresa e tipo de serviço, podendo ser definido pelo fornecedor desde que os 2 itens fechem em 5% no caso de ter conta vinculada.</t>
        </r>
      </text>
    </comment>
    <comment ref="B77" authorId="0">
      <text>
        <r>
          <rPr>
            <b/>
            <sz val="9"/>
            <color rgb="FF000000"/>
            <rFont val="Tahoma"/>
            <family val="2"/>
            <charset val="1"/>
          </rPr>
          <t>Usuário do Windows:</t>
        </r>
        <r>
          <rPr>
            <sz val="9"/>
            <color rgb="FF000000"/>
            <rFont val="Tahoma"/>
            <family val="2"/>
            <charset val="1"/>
          </rPr>
          <t>[(1 salário integral / 30 dias) x 7 dias] / 12 meses = 1,94% é o índice.Acórdão 1186/2017 Plenário (Auditoria, Relator Ministro-Substituto Augusto Sherman)
Licitação. Orçamento estimativo. Encargos sociais. Aviso prévio. Terceirização. Limite máximo. Prorrogação de contrato.
Nas licitações para contratação de mão de obra terceirizada, a Administração deve estabelecer na minuta do contrato que a parcela mensal a título de aviso prévio trabalhado será no percentualmáximo de 1,94% no primeiro ano, e, em caso de prorrogação do contrato, o percentual máximo dessa parcela será de0,194% a cada ano de prorrogação, a ser incluído por ocasião da formulação do aditivo da prorrogação do contrato, conforme a Lei 12.506/2011.</t>
        </r>
      </text>
    </comment>
    <comment ref="G83" authorId="0">
      <text>
        <r>
          <rPr>
            <sz val="10"/>
            <color rgb="FF000000"/>
            <rFont val="Arial"/>
            <family val="2"/>
            <charset val="1"/>
          </rPr>
          <t>Opnião Edilson:
A IN 05/2017, trouxe uma novidade com relação as férias, antes tinhamos calculado separado neste campo o %  das férias e em outro campo o % do (1/3) terço constitucional que no cálculo do CNJ seria 12,10%.
Mas  agora  a IN 05/2017, trouxe no submódulo 2.1 as férias e o 1/3 juntos, e repetiu o item  férias mais uma vez no Módulo 4 - como Custo de Reposição do Profissional Ausente.
Tenho visto alguns colocarem novamente o percentual de 12,10% ou 11,11%, o que no meu ponto está redondamente errado.
 O Texto da IN 05/2017 trouxe o seguinte texto:
Nota: As alíneas “A” a “F” referem-se somente ao custo que será pago ao repositor pelos dias
trabalhados</t>
        </r>
        <r>
          <rPr>
            <b/>
            <u/>
            <sz val="10"/>
            <color rgb="FF000000"/>
            <rFont val="Arial"/>
            <family val="2"/>
            <charset val="1"/>
          </rPr>
          <t>quando da necessidade de substituir</t>
        </r>
        <r>
          <rPr>
            <sz val="10"/>
            <color rgb="FF000000"/>
            <rFont val="Arial"/>
            <family val="2"/>
            <charset val="1"/>
          </rPr>
          <t>a mão de obra alocada na prestação do serviço.
Com base neste texto, até que saia o manual de preenchimento da planilha existem 2 opções:
1° Deixar em Branco: já que é novo e o valor é irrisório.
2° Calcular o percentual das férias+1 /3  + 13° salário e dividir por 12 e os seus reflexos que já seram automaticamente cáculados na letra F ( incidencia submodulo 2.1).</t>
        </r>
      </text>
    </comment>
    <comment ref="F84" authorId="0">
      <text>
        <r>
          <rPr>
            <b/>
            <sz val="9"/>
            <color rgb="FF000000"/>
            <rFont val="Tahoma"/>
            <family val="2"/>
            <charset val="1"/>
          </rPr>
          <t>Usuário do Windows:
CUSTO NÃO RENOVÁVEL :</t>
        </r>
        <r>
          <rPr>
            <sz val="9"/>
            <color rgb="FF000000"/>
            <rFont val="Tahoma"/>
            <family val="2"/>
            <charset val="1"/>
          </rPr>
          <t>VALE LEMBRAR QUE POR OCASIÃO DAS PRORROGAÇÕES DEVE SE VERIFICAR SE ESSE VALOR PROVISIONADO FOI UTILIZADO, SE NÃO FOR OU FOR UTILIZADO EM PARTES, DEVE SER RETIRADO OU COLOCADO PROPORCIONALMENTE O % UTILIZADO.</t>
        </r>
        <r>
          <rPr>
            <b/>
            <sz val="9"/>
            <color rgb="FF000000"/>
            <rFont val="Tahoma"/>
            <family val="2"/>
            <charset val="1"/>
          </rPr>
          <t>(O RACIOCÍNIO VALE PARA TODOS OS ITENS DESTA TABELA DO SUBMÓDULO 4.1)</t>
        </r>
      </text>
    </comment>
    <comment ref="G84" authorId="0">
      <text>
        <r>
          <rPr>
            <sz val="10"/>
            <color rgb="FF000000"/>
            <rFont val="Arial"/>
            <family val="2"/>
            <charset val="1"/>
          </rPr>
          <t>Ausências previstas na legislação vigente que é composta por um conjunto de casos em que o funcionário pode se ausentar sem perda da remuneração.
Considerando que o empregado tenha apenas uma falta legal durante o período de 1 ano, temos:
Cálculo:
1/360 = 0,002777 = 0,27%
Esse valor pode variar conforme dados estatísticos da empresa.</t>
        </r>
      </text>
    </comment>
    <comment ref="G85" authorId="0">
      <text>
        <r>
          <rPr>
            <sz val="10"/>
            <color rgb="FF000000"/>
            <rFont val="Arial"/>
            <family val="2"/>
            <charset val="1"/>
          </rPr>
          <t>Concede ao empregado o direito de ausentar-se do serviço por cinco dias quando do nascimento de filho. De acordo com o IBGE, nascem filhos de 1,5% dos trabalhadores no período de um ano. Dessa forma a provisão para este item corresponde a:
((5/30)/12) x 0,015 x 100 = 0,02%
Esse valor pode variar conforme dados estatísticos da empresa.</t>
        </r>
      </text>
    </comment>
    <comment ref="F86" authorId="0">
      <text>
        <r>
          <rPr>
            <b/>
            <sz val="9"/>
            <color indexed="81"/>
            <rFont val="Tahoma"/>
            <family val="2"/>
          </rPr>
          <t>UFERSA:</t>
        </r>
        <r>
          <rPr>
            <sz val="9"/>
            <color indexed="81"/>
            <rFont val="Tahoma"/>
            <family val="2"/>
          </rPr>
          <t xml:space="preserve">
O auxílio-acidente é o afastamento por mais de 15 dias do trabalho em
virtude de acidentes no exercício da atividade profissional, ou doenças adquiridas ou desencadeadas pelo exercício do trabalho ou das condições em que este é realizado e com ele se relacione diretamente. O custo estimado nessa rubrica corresponde apenas aos primeiros 15 dias, o qual é obrigação da empresa a cobertura do mesmo, sendo após 15 dias, o benefício será coberto pela Previdência Social. O percentual de 0,06% é igual ao número de dias cobertos pela empresa em um mês dentro de um ano multiplicado por 1,33%  conforme  Anuário Estatístico de Acidentes do Trabalho-2016(AEAT/INSS2016)(http://sa.previdencia.gov.br/site/2018/04/AEAT-2016.pdf). 
</t>
        </r>
      </text>
    </comment>
    <comment ref="G86" authorId="0">
      <text>
        <r>
          <rPr>
            <sz val="10"/>
            <color rgb="FF000000"/>
            <rFont val="Arial"/>
            <family val="2"/>
            <charset val="1"/>
          </rPr>
          <t>Valor do custo referente aos 15 primeiros dias em que o empregado encontra-se afastado por acidente de trabalho e a empresa contratada tem o dever de remunerá-lo. Após esse período o ônus passa a ser do INSS. De acordo com os números mais recentes apresentados pelo Ministério da Previdência e Assistência Social, baseados em informações prestadas pelos empregadores, por meio de GFIP, 0,78% dos empregados se acidentam no ano. Assim, a provisão corresponde a:
((15/30)/12) x 0,0078 x 100 = 0,03%
Esse valor pode variar conforme dados estatísticos da empresa.</t>
        </r>
      </text>
    </comment>
    <comment ref="B88" authorId="0">
      <text>
        <r>
          <rPr>
            <b/>
            <sz val="9"/>
            <color rgb="FF000000"/>
            <rFont val="Tahoma"/>
            <family val="2"/>
            <charset val="1"/>
          </rPr>
          <t>Usuário do Windows:</t>
        </r>
        <r>
          <rPr>
            <sz val="9"/>
            <color rgb="FF000000"/>
            <rFont val="Tahoma"/>
            <family val="2"/>
            <charset val="1"/>
          </rPr>
          <t>Esse item (Ausência por doença), foi exlcuido do modelo de tabela da IN05/2017, mas não foi dito o motivo, nem mesmo se deveria ser computado por exemplo com o item Ausências Legais,</t>
        </r>
        <r>
          <rPr>
            <b/>
            <sz val="9"/>
            <color rgb="FF000000"/>
            <rFont val="Tahoma"/>
            <family val="2"/>
            <charset val="1"/>
          </rPr>
          <t>enquanto não sai o manual de prenchimento de planilha</t>
        </r>
        <r>
          <rPr>
            <sz val="9"/>
            <color rgb="FF000000"/>
            <rFont val="Tahoma"/>
            <family val="2"/>
            <charset val="1"/>
          </rPr>
          <t>prometido pelo Ministério do Planejamento acho prudente continuar usando o percentual por se tratar do mais impactante na planilha de custos.</t>
        </r>
      </text>
    </comment>
    <comment ref="G88" authorId="0">
      <text>
        <r>
          <rPr>
            <sz val="10"/>
            <color rgb="FF000000"/>
            <rFont val="Arial"/>
            <family val="2"/>
            <charset val="1"/>
          </rPr>
          <t>Esta parcela refere-se aos dias em que o empregado fica doente e a contratada deve providenciar sua substituição. Entendemos que deva ser adotado 5,96 dias, conforme consta no memorial de cálculo encaminhado pelo MP, devendo-se converter esses dias em mês e depois dividi-lo pelo número de meses no ano. (Acórdão 1753/2008 – Plenário TCU)
Cálculo:
(5,96/30)/12 x 100 = 1,66%;
Esse valor pode variar conforme dados estatísticos da empresa.</t>
        </r>
      </text>
    </comment>
    <comment ref="B94" authorId="0">
      <text>
        <r>
          <rPr>
            <b/>
            <sz val="9"/>
            <color rgb="FF000000"/>
            <rFont val="Tahoma"/>
            <family val="2"/>
            <charset val="1"/>
          </rPr>
          <t>Usuário do Windows:</t>
        </r>
        <r>
          <rPr>
            <sz val="9"/>
            <color rgb="FF000000"/>
            <rFont val="Tahoma"/>
            <family val="2"/>
            <charset val="1"/>
          </rPr>
          <t>Texto extraído da IN 05/2017 
Nota: Quando houver a necessidade de reposição de um empregado durante sua ausência nos casos de intervalo para repouso ou alimentação deve-se contemplar o Submódulo 4.2.</t>
        </r>
      </text>
    </comment>
    <comment ref="B108" authorId="0">
      <text>
        <r>
          <rPr>
            <b/>
            <sz val="9"/>
            <color rgb="FF000000"/>
            <rFont val="Tahoma"/>
            <family val="2"/>
            <charset val="1"/>
          </rPr>
          <t>Usuário do Windows:</t>
        </r>
        <r>
          <rPr>
            <sz val="9"/>
            <color rgb="FF000000"/>
            <rFont val="Tahoma"/>
            <family val="2"/>
            <charset val="1"/>
          </rPr>
          <t> Definição
Correspondem aos dispêndios relativos aos custos indiretos, tributos e lucros. Na metodologia de cálculo dos valores limites é denominado CITL.</t>
        </r>
      </text>
    </comment>
    <comment ref="F109" authorId="0">
      <text>
        <r>
          <rPr>
            <b/>
            <sz val="9"/>
            <color rgb="FF000000"/>
            <rFont val="Tahoma"/>
            <family val="2"/>
            <charset val="1"/>
          </rPr>
          <t>Usuário do Windows:
Texto extraído do Manual de preenchimento de Planilha MPOG 2011</t>
        </r>
        <r>
          <rPr>
            <sz val="9"/>
            <color rgb="FF000000"/>
            <rFont val="Tahoma"/>
            <family val="2"/>
            <charset val="1"/>
          </rPr>
          <t>Nota Explicativa: 
Custos indiretos: são os gastos da contratada com sua estrutura administrativa, organizacional e gerenciamento de seus contratos, tais como as despesas relativas a: a) funcionamento e manutenção da sede, tais como aluguel, água, luz, telefone, o Imposto Predial Territorial Urbano – IPTU, dentre outros; b) pessoal administrativo; c) material e equipamentos de escritório; d) supervisão de serviços;  e) seguros.
 -</t>
        </r>
        <r>
          <rPr>
            <b/>
            <sz val="9"/>
            <color rgb="FF000000"/>
            <rFont val="Tahoma"/>
            <family val="2"/>
            <charset val="1"/>
          </rPr>
          <t>Observação (1) -  No cálculo dos valores limites para os serviços de vigilância e limpeza foram estabelecidos os percentuais de 6% e 3% respectivamente</t>
        </r>
        <r>
          <rPr>
            <sz val="9"/>
            <color rgb="FF000000"/>
            <rFont val="Tahoma"/>
            <family val="2"/>
            <charset val="1"/>
          </rPr>
          <t>. Os custos indiretos são calculados mediante incidência daqueles percentuais sobre o somatório da remuneração, benefícios mensais e diários, insumos diversos, encargos sociais e trabalhistas.</t>
        </r>
        <r>
          <rPr>
            <b/>
            <sz val="12"/>
            <color rgb="FFFF0000"/>
            <rFont val="Tahoma"/>
            <family val="2"/>
            <charset val="1"/>
          </rPr>
          <t>Na verdade o esse texto traz arredondamentos, sendo que a Margem de lucro definida em estudo na Caderno de Limpeza do MPOG 2014 é</t>
        </r>
        <r>
          <rPr>
            <b/>
            <sz val="12"/>
            <color rgb="FF000000"/>
            <rFont val="Tahoma"/>
            <family val="2"/>
            <charset val="1"/>
          </rPr>
          <t>de 6,79% para Lucro e 3% para Custos Indiretos</t>
        </r>
        <r>
          <rPr>
            <b/>
            <sz val="12"/>
            <color rgb="FFFF0000"/>
            <rFont val="Tahoma"/>
            <family val="2"/>
            <charset val="1"/>
          </rPr>
          <t>, para os serviços de Vigilância e limpeza</t>
        </r>
        <r>
          <rPr>
            <sz val="9"/>
            <color rgb="FF000000"/>
            <rFont val="Tahoma"/>
            <family val="2"/>
            <charset val="1"/>
          </rPr>
          <t>________________________________________________________________________________________________________________</t>
        </r>
        <r>
          <rPr>
            <b/>
            <sz val="9"/>
            <color rgb="FF000000"/>
            <rFont val="Tahoma"/>
            <family val="2"/>
            <charset val="1"/>
          </rPr>
          <t>IN nº 05/17 – anexo vii-a</t>
        </r>
        <r>
          <rPr>
            <sz val="9"/>
            <color rgb="FF000000"/>
            <rFont val="Tahoma"/>
            <family val="2"/>
            <charset val="1"/>
          </rPr>
          <t>9.2  Consideram-se preços manifestamente inexeqüíveis aqueles que, comprovadamente, forem insuficientes para a cobertura dos custos decorrentes da contratação pretendida.
9.3 A inexeqüibilidade dos valores referentes a itens isolados da planilha de custos  e formação de preços não caracteriza motivo suficiente para a desclassificação da proposta, , desde que não contrariem exigências legais.
9.4 Se houver indícios de inexequibilidade da proposta de preço, ou em caso da necessidade de esclarecimentos complementares, poderá ser efetuada diligência, na forma do § 3° do art. 43 da Lei n° 8.666, de 1993, para efeito de comprovação de sua exequibilidade, podendo ser adotado, dentre outros, os seguintes procedimentos:
questionamentos junto à proponente para a apresentação de justificativas e comprovações em relação aos custos com indícios de inexequibilidade;verificação de Acordos, Convenções ou Dissídios Coletivos de Trabalho;levantamento de informações junto ao Ministério do Trabalho; consultas a entidades ou conselhos de classe, sindicatos ou similares; pesquisas em órgãos públicos ou empresas privadas verificação de outros contratos que o proponente mantenha com a Administração ou com a iniciativa privada;pesquisa de preço com fornecedores dos insumos utilizados, tais como: atacadistas, lojas de suprimentos,supermercados e fabricantes;verificação de notas fiscais dos produtos adquiridos pelo proponente;
levantamento de indicadores salariais ou trabalhistas publicados por órgãos de pesquisa;estudos setoriais;consultas às Fazendas Federal, Distrital, Estadual ou Municipal; eanálise de soluções técnicas escolhidas e/ou condições excepcionalmente favoráveis que o proponente disponha para a prestação dos serviços.
9.5 Qualquer interessado poderá requerer que se realizem diligências para aferir a exequibilidade e a legalidade das propostas, devendo apresentar as provas ou os indícios que fundamentam o pedido;
9.6 Quando o licitante apresentar</t>
        </r>
        <r>
          <rPr>
            <b/>
            <sz val="9"/>
            <color rgb="FF000000"/>
            <rFont val="Tahoma"/>
            <family val="2"/>
            <charset val="1"/>
          </rPr>
          <t>preço final inferior a 30% da média dos preços ofertados</t>
        </r>
        <r>
          <rPr>
            <sz val="9"/>
            <color rgb="FF000000"/>
            <rFont val="Tahoma"/>
            <family val="2"/>
            <charset val="1"/>
          </rPr>
          <t>para o mesmo item, e a inexequibilidade da proposta não for flagrante e evidente pela análise da planilha de custos e formação de preços,</t>
        </r>
        <r>
          <rPr>
            <b/>
            <sz val="9"/>
            <color rgb="FF000000"/>
            <rFont val="Tahoma"/>
            <family val="2"/>
            <charset val="1"/>
          </rPr>
          <t>não sendo possível a sua imediata desclassificaçã</t>
        </r>
        <r>
          <rPr>
            <sz val="9"/>
            <color rgb="FF000000"/>
            <rFont val="Tahoma"/>
            <family val="2"/>
            <charset val="1"/>
          </rPr>
          <t>o, será obrigatória a realização de diligências para aferir a legalidade e exequibilidade da proposta.
________________________________________________________________________________________________________________</t>
        </r>
        <r>
          <rPr>
            <b/>
            <sz val="9"/>
            <color rgb="FF000000"/>
            <rFont val="Tahoma"/>
            <family val="2"/>
            <charset val="1"/>
          </rPr>
          <t>TCU –Acórdão nº 1.214/2013 – Plenário
III.H percentuais mínimos aceitáveis para encargos sociais e ldi</t>
        </r>
        <r>
          <rPr>
            <sz val="9"/>
            <color rgb="FF000000"/>
            <rFont val="Tahoma"/>
            <family val="2"/>
            <charset val="1"/>
          </rPr>
          <t>219. Do mesmo modo, lucro, como se sabe, pode ser maximizado com uma boa gestão de mão de obra, mas não se deve abrir mão de um mínimo aceitável, pois não é crível que prestadores de serviços estejam dispostos a trabalharem de graça para o erário. Não fixar lucro mínimo é um incentivo para que as empresas avancem sobre outras verbas, como direitos trabalhistas, tributos e contribuições compulsórias, como tem sido praxe.
220. Também as despesas administrativas, devem ser objeto de análise pela administração, pois não é razoável que a empresa não possua esse gasto. No entanto, é aceitável que existam justificativas para reduzí-lo ou eliminá-lo, por exemplo, que a empresa administre muitos contratos, ou que se trate de uma empresa familiar, mas para isso a empresa necessite apresenta-las.
_______________________________________________________________________________________________________________</t>
        </r>
        <r>
          <rPr>
            <b/>
            <sz val="9"/>
            <color rgb="FF000000"/>
            <rFont val="Tahoma"/>
            <family val="2"/>
            <charset val="1"/>
          </rPr>
          <t>Mas em outro acordão o TCU definiu que  os % são livres para serem definidos por cada fornecedor:
(Acórdão 325/2007-TCU-Plenário).Não há vedação legalà atuação, por parte de empresas contratadas pela Administração Pública Federal,sem margem de lucro ou com margem de lucro mínima, pois tal fato depende da estratégia comercial da empresa e não conduz, necessariamente, à inexecução da proposta.
___________________________________________________________________________________________________Outro Acórdão que parece trazer certa solução, estabelece que os percentuais mínimos devem ser estabelecidos em Edital.A desclassificação de proposta por inexequibilidade deve ser objetivamente demonstrada, a partir de critérios previamente publicados (Acórdãos 2.528/2012 e 1.092/2013, ambos do Plenário).
Vale destacar que a questão foi abordada no Acórdão nº 1.214/13-Plenário, em sede de representação formulada a partir de trabalho realizado por grupo de estudos, constituído com o objetivo de apresentar proposições de melhorias nos procedimentos relativos à terceirização de serviços continuados na Administração Pública Federal. Um dos problemas apontados naquela ocasião foi justamente a dificuldade enfrentada pela Administração no exame de exequibilidade das propostas, em razão da ausência de parâmetros seguros de análise.
De acordo coma conclusão do grupo, “(…)os editais deveriam consignar expressamente as condições mínimas para que as propostas sejam consideradas exequíveis, proibindo propostas com lucro e despesas administrativas iguais a zero, entre outros, em razão de esse percentual englobar os impostos e contribuições não repercutíveis (IR, CSLL). Registre-se que o grupo não determinou quais seriam as condições mínimas ideais, de modo que deverá ser realizado estudo para determiná-las e, assim, possibilitar a implementação dessa proposta.”________________________________________________________________________________________________________________</t>
        </r>
      </text>
    </comment>
    <comment ref="F110" authorId="0">
      <text>
        <r>
          <rPr>
            <sz val="10"/>
            <color rgb="FF000000"/>
            <rFont val="Arial"/>
            <family val="2"/>
            <charset val="1"/>
          </rPr>
          <t>(Acórdão 325/2007-TCU-Plenário).</t>
        </r>
        <r>
          <rPr>
            <b/>
            <sz val="10"/>
            <color rgb="FF000000"/>
            <rFont val="Arial"/>
            <family val="2"/>
            <charset val="1"/>
          </rPr>
          <t>Não há vedação legal</t>
        </r>
        <r>
          <rPr>
            <sz val="10"/>
            <color rgb="FF000000"/>
            <rFont val="Arial"/>
            <family val="2"/>
            <charset val="1"/>
          </rPr>
          <t>à atuação, por parte de empresas contratadas pela Administração Pública Federal,</t>
        </r>
        <r>
          <rPr>
            <b/>
            <sz val="10"/>
            <color rgb="FF000000"/>
            <rFont val="Arial"/>
            <family val="2"/>
            <charset val="1"/>
          </rPr>
          <t>sem margem de lucro ou com margem de lucro mínima</t>
        </r>
        <r>
          <rPr>
            <sz val="10"/>
            <color rgb="FF000000"/>
            <rFont val="Arial"/>
            <family val="2"/>
            <charset val="1"/>
          </rPr>
          <t>, pois tal fato depende da estratégia comercial da empresa e não conduz, necessariamente, à inexecução da proposta
2. A desclassificação de proposta por inexequibilidade deve ser objetivamente demonstrada, a partir de critérios previamente publicados (Acórdãos 2.528/2012 e 1.092/2013, ambos do Plenário)
------------------------------------------------------------------------------------------------------------------------------------------
Mas em outro acórdão o TCU deliberou o seguinte:
Vale destacar que a questão foi abordada no Acórdão nº 1.214/13-Plenário, em sede de representação formulada a partir de trabalho realizado por grupo de estudos, constituído com o objetivo de apresentar proposições de melhorias nos procedimentos relativos à terceirização de serviços continuados na Administração Pública Federal. Um dos problemas apontados naquela ocasião foi justamente a dificuldade enfrentada pela Administração no exame de exequibilidade das propostas, em razão da ausência de parâmetros seguros de análise.
De acordo coma conclusão do grupo, “(…)</t>
        </r>
        <r>
          <rPr>
            <b/>
            <sz val="10"/>
            <color rgb="FF000000"/>
            <rFont val="Arial"/>
            <family val="2"/>
            <charset val="1"/>
          </rPr>
          <t>os editais deveriam consignar expressamente as condições mínimas para que as propostas sejam consideradas exequíveis, proibindo propostas com lucro e despesas administrativas iguais a zero</t>
        </r>
        <r>
          <rPr>
            <sz val="10"/>
            <color rgb="FF000000"/>
            <rFont val="Arial"/>
            <family val="2"/>
            <charset val="1"/>
          </rPr>
          <t>, entre outros, em razão de esse percentual englobar os impostos e contribuições não repercutíveis (IR, CSLL). Registre-se que o grupo não determinou quais seriam as condições mínimas ideais, de modo que deverá ser realizado estudo para determiná-las e, assim, possibilitar a implementação dessa proposta.”
------------------------------------------------------------------------------------------------------------------------------------------</t>
        </r>
        <r>
          <rPr>
            <b/>
            <sz val="10"/>
            <color rgb="FFFF0000"/>
            <rFont val="Arial"/>
            <family val="2"/>
            <charset val="1"/>
          </rPr>
          <t>Conclusão:
Melhor solução, estabelecer nos Editais com base em estudos percentuais minímos de lucros e custos indiretos</t>
        </r>
      </text>
    </comment>
    <comment ref="G113" authorId="0">
      <text>
        <r>
          <rPr>
            <sz val="10"/>
            <color rgb="FF000000"/>
            <rFont val="Arial"/>
            <family val="2"/>
            <charset val="1"/>
          </rPr>
          <t>Empresas Lucro Presumido:
PIS: 0,65% / COFINS: 3,00%
Empresas Lucro Real:
PIS: 1,65% / COFINS: 7,60%
Para as empresas optantes pelo Simples Nacional, a tributação varia conforme o faturamento mensal.
Soma-se os módulo 1,2,3,4,5, bem como os Custos Indiretos e o Lucro. Em seguida divide-se pelo Fator de Divisão, conforme a tributação aplicada (presumido,real,SIMPLES). Dessa forma, encontra-se o faturamento o qual incidirá a alíquota do PIS (PRESUMIDO).</t>
        </r>
      </text>
    </comment>
    <comment ref="G114" authorId="0">
      <text>
        <r>
          <rPr>
            <sz val="10"/>
            <color rgb="FF000000"/>
            <rFont val="Arial"/>
            <family val="2"/>
            <charset val="1"/>
          </rPr>
          <t>Empresas Lucro Presumido:
PIS: 0,65% / COFINS: 3,00%
Empresas Lucro Real:
PIS: 1,65% / COFINS: 7,60%
Para as empresas optantes pelo Simples Nacional, a tributação varia conforme o faturamento mensal.
Soma-se os módulo 1,2,3,4,5, bem como os Custos Indiretos e o Lucro. Em seguida divide-se pelo Fator de Divisão, conforme a tributação aplicada (presumido,real,SIMPLES). Dessa forma, encontra-se o faturamento o qual incidirá a alíquota do COFINS (PRESUMIDO).</t>
        </r>
      </text>
    </comment>
    <comment ref="G116" authorId="0">
      <text>
        <r>
          <rPr>
            <sz val="10"/>
            <color rgb="FF000000"/>
            <rFont val="Arial"/>
            <family val="2"/>
            <charset val="1"/>
          </rPr>
          <t>SANTOS DUMONT 3% (PODE VARIAR CONFORME MUNICÍPIO)
ALÍQUOTAS  SIMPLES, CONFORME TABELA A SEGUIR:
Antigo Anexo III do Simples Nacional (alterada em 2018)
Receita Bruta em 12 meses (em R$)	Alíquota Total	IRPJ	CSLL	COFINS	PIS	CPP	ISS
De R$ 0,00 a R$ 180.000,00            	6,00%	0,00%	0,00%	0,00%	0,00%	4,00%	2,00%
De R$ 180.000,01 a R$ 360.000,00 	8,21%	0,00%	0,00%	1,42%	0,00%	4,00%	2,79%
De R$ 360.000,01 a R$ 540.000,00 	10,26%	0,48%	0,43%	1,43%	0,35%	4,07%	3,50%
De R$ 540.000,01 a R$ 720.000,00 	11,31%	0,53%	0,53%	1,56%	0,38%	4,47%	3,84%
De R$ 720.000,01 a R$ 900.000,00 	11,40%	0,53%	0,52%	1,58%	0,38%	4,52%	3,87%
De R$ 900.000,01 a R$ 1.080.000,00 	12,42%	0,57%	0,57%	1,73%	0,40%	4,92%	4,23%
De R$ 1.080.000,01 a R$ 1.260.000,00 	12,54%	0,59%	0,56%	1,74%	0,42%	4,97%	4,26%
De R$ 1.260.000,01 a R$ 1.440.000,00 	12,68%	0,59%	0,57%	1,76%	0,42%	5,03%	4,31%
De R$ 1.440.000,01 a R$ 1.620.000,00 	13,55%	0,63%	0,61%	1,88%	0,45%	5,37%	4,61%
De R$ 1.620.000,01 a R$ 1.800.000,00 	13,68%	0,63%	0,64%	1,89%	0,45%	5,42%	4,65%
De R$ 1.800.000,01 a R$ 1.980.000,00 	14,93%	0,69%	0,69%	2,07%	0,50%	5,98%	5,00%
De R$ 1.980.000,01 a R$ 2.160.000,00 	15,06%	0,69%	0,69%	2,09%	0,50%	6,09%	5,00%
De R$ 2.160.000,01 a R$ 2.340.000,00 	15,20%	0,71%	0,70%	2,10%	0,50%	6,19%	5,00%
De R$ 2.340.000,01 a R$ 2.520.000,00 	15,35%	0,71%	0,70%	2,13%	0,51%	6,30%	5,00%
De R$ 2.520.000,01 a R$ 2.700.000,00 	15,48%	0,72%	0,70%	2,15%	0,51%	6,40%	5,00%
De R$ 2.700.000,01 a R$ 2.880.000,00 	16,85%	0,78%	0,76%	2,34%	0,56%	7,41%	5,00%
De R$ 2.880.000,01 a R$ 3.060.000,00 	16,98%	0,78%	0,78%	2,36%	0,56%	7,50%	5,00%
De R$ 3.060.000,01 a R$ 3.240.000,00 	17,13%	0,80%	0,79%	2,37%	0,57%	7,60%	5,00%
De R$ 3.240.000,01 a R$ 3.420.000,00 	17,27%	0,80%	0,79%	2,40%	0,57%	7,71%	5,00%
De R$ 3.420.000,01 a R$ 3.600.000,00 	17,42%	0,81%	0,79%	2,42%	0,57%	7,83%	5,00%</t>
        </r>
        <r>
          <rPr>
            <b/>
            <sz val="10"/>
            <color rgb="FF000000"/>
            <rFont val="Arial"/>
            <family val="2"/>
            <charset val="1"/>
          </rPr>
          <t>É aconselhável buscar auxilio do setor contábil do órgão para aferição dos tributos.</t>
        </r>
      </text>
    </comment>
    <comment ref="B133" authorId="0">
      <text>
        <r>
          <rPr>
            <sz val="10"/>
            <color rgb="FF000000"/>
            <rFont val="Arial"/>
            <family val="2"/>
            <charset val="1"/>
          </rPr>
          <t>Serviços de Limpeza devem usar o Quadro 6 da Planilha modelo da IN  05/2017 ( esta planilha já está configurada na aba por M²).
Serviços de Vigilância devem usar o quadro 5 da  da Planilha modelo da IN  05/2017</t>
        </r>
      </text>
    </comment>
  </commentList>
</comments>
</file>

<file path=xl/comments6.xml><?xml version="1.0" encoding="utf-8"?>
<comments xmlns="http://schemas.openxmlformats.org/spreadsheetml/2006/main">
  <authors>
    <author>Autor</author>
  </authors>
  <commentList>
    <comment ref="A3" authorId="0">
      <text>
        <r>
          <rPr>
            <sz val="10"/>
            <color rgb="FF000000"/>
            <rFont val="Arial"/>
            <family val="2"/>
            <charset val="1"/>
          </rPr>
          <t>ESSAS INFORMAÇÕES DEVEM SER REPASSADAS VIA EMAIL PELO SETOR DE LICITAÇÃO</t>
        </r>
      </text>
    </comment>
    <comment ref="H27" authorId="0">
      <text>
        <r>
          <rPr>
            <sz val="10"/>
            <color rgb="FF000000"/>
            <rFont val="Arial"/>
            <family val="2"/>
            <charset val="1"/>
          </rPr>
          <t>COLOCAR O VALOR DA CCT MAS DEIXAR ABERTO PARA FORNECEDOR ALTERAR “ SÓ PODE SER MAIOR QUE A CCT”</t>
        </r>
      </text>
    </comment>
    <comment ref="B28" authorId="0">
      <text>
        <r>
          <rPr>
            <sz val="10"/>
            <color rgb="FF000000"/>
            <rFont val="Arial"/>
            <family val="2"/>
            <charset val="1"/>
          </rPr>
          <t>Previsto em legislação ou acordo coletivo para trabalhos que impliquem em condições de risco à saúde ou integridade física do trabalhador.
30% sobre o salário base.</t>
        </r>
      </text>
    </comment>
    <comment ref="D28" authorId="0">
      <text>
        <r>
          <rPr>
            <sz val="10"/>
            <color rgb="FF000000"/>
            <rFont val="Arial"/>
            <family val="2"/>
            <charset val="1"/>
          </rPr>
          <t>Selecionar:
*Com Periculosidade
* Sem Periculosidade</t>
        </r>
      </text>
    </comment>
    <comment ref="E28" authorId="0">
      <text>
        <r>
          <rPr>
            <sz val="10"/>
            <color rgb="FF000000"/>
            <rFont val="Arial"/>
            <family val="2"/>
            <charset val="1"/>
          </rPr>
          <t>Selecionar 0% quando não houver Periculosidade e 30% quando incidir</t>
        </r>
      </text>
    </comment>
    <comment ref="B29" authorId="0">
      <text>
        <r>
          <rPr>
            <sz val="10"/>
            <color rgb="FF000000"/>
            <rFont val="Arial"/>
            <family val="2"/>
            <charset val="1"/>
          </rPr>
          <t>O salário de referência para cálculo do seu custo é o salário mínimo estadual ou o nacional ou o salário normativo da categoria se expressamente estabelecido no acordo ou convenção coletiva.
São operações que, por sua natureza, condições ou métodos de trabalho, exponham os empregados a agentes nocivos à saúde, acima dos limites de tolerância fixados em razão da natureza e da intensidade do agente e do tempo de exposição aos seus efeitos. (Art. 189, CLT)
Grau máximo: 40%;
Grau médio: 20%;
Grau mínimo: 10%.</t>
        </r>
      </text>
    </comment>
    <comment ref="B31" authorId="0">
      <text>
        <r>
          <rPr>
            <sz val="10"/>
            <color rgb="FF000000"/>
            <rFont val="Arial"/>
            <family val="2"/>
            <charset val="1"/>
          </rPr>
          <t>Verificar as auterações trazidas pela Reforma Trabalhista – Á principio aguardar as Novas CCT´s
Conferido ao trabalhador por trabalho executado entre as 22 horas de um dia e as 5 horas do dia seguinte.
Remunerado com adicional de, pelo menos, 20% sobre a hora diurna.
Adicional noturno para 1 hora trabalhada = Valor da hora diurna X 20%
Valor da hora diurna = Salário base / Total de horas trabalhadas no mês
O total de horas trabalhadas no mês calcula-se considerando 5 semanas de trabalho, conforme determinação do MTE.
Exemplo:
Salário: R$2.200,00
Valor da hora diurna: 2.200,00 / 220 horas (jornada de 44 horas semanais) = R$10,00
Adicional noturno para 1 hora trabalhada = 10,00 X 20% = R$2,00</t>
        </r>
      </text>
    </comment>
    <comment ref="D31" authorId="0">
      <text>
        <r>
          <rPr>
            <sz val="10"/>
            <color rgb="FF000000"/>
            <rFont val="Arial"/>
            <family val="2"/>
            <charset val="1"/>
          </rPr>
          <t>Selecionar entre:
Mínimo
Médio 
Máximo
Sem Insalubridade</t>
        </r>
      </text>
    </comment>
    <comment ref="E31" authorId="0">
      <text>
        <r>
          <rPr>
            <sz val="10"/>
            <color rgb="FF000000"/>
            <rFont val="Arial"/>
            <family val="2"/>
            <charset val="1"/>
          </rPr>
          <t>Selecionar entre:
0%
10%
20%
40%
E o valor da Insalubridade será calculado sobre o valor da salário</t>
        </r>
      </text>
    </comment>
    <comment ref="F31" authorId="0">
      <text>
        <r>
          <rPr>
            <sz val="10"/>
            <color rgb="FF000000"/>
            <rFont val="Arial"/>
            <family val="2"/>
            <charset val="1"/>
          </rPr>
          <t>Digitar valo do Salário Mínimo ou o da Categoria se expressamente estabelecido em Convenção Coletiva</t>
        </r>
      </text>
    </comment>
    <comment ref="B32" authorId="0">
      <text>
        <r>
          <rPr>
            <sz val="10"/>
            <color rgb="FF000000"/>
            <rFont val="Arial"/>
            <family val="2"/>
            <charset val="1"/>
          </rPr>
          <t>Corresponde a 52 minutos e 30 segundos.
A hora noturna adicional corresponde à diferença da hora noturna menos a hora normal.
Hora noturna = Hora normal X (60/52,5)
Hora noturna = Hora normal X 1,14285714
Exemplo:
Salário: R$2.200,00
Valor da hora diurna: 2.200,00 / 220 horas (jornada de 44 horas semanais) = R$10,00
Hora noturna = 10,00 X 1,14285714 = R$11,42
Hora noturna adicional = Hora noturna – Hora normal
Hora noturna adicional = (11,42 X 20%) - (R$10,00 X 20%) = 2,286 – 2,00 = 0,286</t>
        </r>
      </text>
    </comment>
    <comment ref="H33" authorId="0">
      <text>
        <r>
          <rPr>
            <b/>
            <sz val="9"/>
            <color indexed="81"/>
            <rFont val="Tahoma"/>
            <family val="2"/>
          </rPr>
          <t>UFERSA:O adicional noturno influenciará no repouso semanal remunerado, portando para compensar o descanso semanal decorrente do labor noturno, o empregado também terá reflexo em seu descanso remunerado de adicional noturno.  Em decorrência do valor do posto ser mensal, ou seja de um mês qualquer, os dias úteis, domingos e feriados foram tomados como uma média mensal dentro de um período de um ano (2018). Adotamos como o fator multiplicador de 0,229 , igual à (1/média de dias úteis 2018)xmédia de feriados e domingos em  2018.</t>
        </r>
        <r>
          <rPr>
            <sz val="9"/>
            <color indexed="81"/>
            <rFont val="Tahoma"/>
            <family val="2"/>
          </rPr>
          <t xml:space="preserve">
</t>
        </r>
      </text>
    </comment>
    <comment ref="B35" authorId="0">
      <text>
        <r>
          <rPr>
            <sz val="10"/>
            <color rgb="FF000000"/>
            <rFont val="Arial"/>
            <family val="2"/>
            <charset val="1"/>
          </rPr>
          <t>Relativo ao trabalho realizado além da jornada diária regular estabelecida, com acréscimo de no mínimo 50% do valor da hora normal para trabalho extra (entre segunda e sábado) e de 100% em domingos e feriados.
Não pode ser maior do que 2 horas diárias. (Art. 59, CLT)</t>
        </r>
      </text>
    </comment>
    <comment ref="B41" authorId="0">
      <text>
        <r>
          <rPr>
            <b/>
            <sz val="10"/>
            <color rgb="FF000000"/>
            <rFont val="Arial"/>
            <family val="2"/>
            <charset val="1"/>
          </rPr>
          <t>Cálculo de acordo com o Manual para preenchimento de Planilha do MPOG de 2011</t>
        </r>
        <r>
          <rPr>
            <sz val="10"/>
            <color rgb="FF000000"/>
            <rFont val="Arial"/>
            <family val="2"/>
            <charset val="1"/>
          </rPr>
          <t>Considerando que na duração do contrato de 60 meses o empregado tem 5 meses de férias e labora em 56 meses:
(5/56) x 100 = 8,93%;</t>
        </r>
        <r>
          <rPr>
            <b/>
            <sz val="10"/>
            <color rgb="FF000000"/>
            <rFont val="Arial"/>
            <family val="2"/>
            <charset val="1"/>
          </rPr>
          <t>Cálculo de acordo com o Caderno de Logistica/ Serviços de limpeza  MPOG de 2014</t>
        </r>
        <r>
          <rPr>
            <sz val="10"/>
            <color rgb="FF000000"/>
            <rFont val="Arial"/>
            <family val="2"/>
            <charset val="1"/>
          </rPr>
          <t>Para os contratos de 1 ano (12 meses) o empregado trabalha 12 meses e tem direito a 1 mês de férias, o que significa:
(1/12) x 100 = 8,33%.
Por derradeiro a IN 05/2017, trouxe o seguinte texto
Nota 1: Como a planilha de custos e formação de preços é calculada mensalmente, provisiona-se
proporcionalmente 1/12 (um doze avos) dos valores referentes a gratificação natalina e adicional
de férias.</t>
        </r>
        <r>
          <rPr>
            <b/>
            <sz val="10"/>
            <color rgb="FF000000"/>
            <rFont val="Arial"/>
            <family val="2"/>
            <charset val="1"/>
          </rPr>
          <t>( No meu entendimento definiu que o percentual do 13° é de 8,33% ), 
MAS É NECESSÁRIO ESPERAR SAIR O MANUAL DE PREENCHIMENTO DA PLANILHA, TÃO PROMETIDO PARA  SE BATER O MARTELO, POIS COSTUMA UMA PUBLICAÇÃO NÃO BATER COM A OUTRA, SÓ PARA VARIAR.</t>
        </r>
      </text>
    </comment>
    <comment ref="G41" authorId="0">
      <text>
        <r>
          <rPr>
            <b/>
            <sz val="9"/>
            <color rgb="FF000000"/>
            <rFont val="Tahoma"/>
            <family val="2"/>
            <charset val="1"/>
          </rPr>
          <t>Usuário do Windows:</t>
        </r>
        <r>
          <rPr>
            <sz val="9"/>
            <color rgb="FF000000"/>
            <rFont val="Tahoma"/>
            <family val="2"/>
            <charset val="1"/>
          </rPr>
          <t>8,33% ou 8,93% Ler comentário na descrição do item 13º SALÁRIO ao lado</t>
        </r>
      </text>
    </comment>
    <comment ref="B42" authorId="0">
      <text>
        <r>
          <rPr>
            <sz val="10"/>
            <color rgb="FF000000"/>
            <rFont val="Arial"/>
            <family val="2"/>
            <charset val="1"/>
          </rPr>
          <t>.( Art. 129,Art. 130, inciso I da CLT e Art. 7° , inciso XCII da CF/88 [=(1/12)+(1/3)/12]</t>
        </r>
        <r>
          <rPr>
            <b/>
            <sz val="10"/>
            <color rgb="FF000000"/>
            <rFont val="Arial"/>
            <family val="2"/>
            <charset val="1"/>
          </rPr>
          <t>Quando é retido a conta vinculada o calculo deve ser [</t>
        </r>
        <r>
          <rPr>
            <sz val="10"/>
            <color rgb="FF000000"/>
            <rFont val="Arial"/>
            <family val="2"/>
            <charset val="1"/>
          </rPr>
          <t>=(1/11)+(1/3/11) que dá os 12,10% retidos na conta vinculada (calculo CNJ).
A IN 05/2017, trouxe o seguinte texto com relação ao módulo 2.1
Nota 1: Como a planilha de custos e formação de preços é calculada mensalmente, provisiona-se
proporcionalmente 1/12 (um doze avos) dos valores referentes a gratificação natalina e adicional
de férias.</t>
        </r>
        <r>
          <rPr>
            <b/>
            <sz val="10"/>
            <color rgb="FF000000"/>
            <rFont val="Arial"/>
            <family val="2"/>
            <charset val="1"/>
          </rPr>
          <t>( No meu entendimento definiu que o percentual do 13° é de 8,33% ),</t>
        </r>
        <r>
          <rPr>
            <b/>
            <u/>
            <sz val="10"/>
            <color rgb="FF000000"/>
            <rFont val="Arial"/>
            <family val="2"/>
            <charset val="1"/>
          </rPr>
          <t>MAS É NECESSÁRIO ESPERAR SAIR O MANUAL DE PREENCHIMENTO DA PLANILHA, TÃO PROMETIDO PARA BATER O MARTELO, POIS COSTUMA UMA PUBLICAÇÃO NÃO BATER COM A OUTRA, SÓ PARA VARIAR.</t>
        </r>
        <r>
          <rPr>
            <sz val="10"/>
            <color rgb="FF000000"/>
            <rFont val="Arial"/>
            <family val="2"/>
            <charset val="1"/>
          </rPr>
          <t>Nota 2: O adicional de férias contido no Submódulo 2.1 corresponde a 1/3 (um terço) da
remuneração que por sua vez é divido por 12 (doze) conforme Nota 1 acima.</t>
        </r>
        <r>
          <rPr>
            <b/>
            <sz val="10"/>
            <color rgb="FF000000"/>
            <rFont val="Arial"/>
            <family val="2"/>
            <charset val="1"/>
          </rPr>
          <t>( Desta forma também defini que o percentual das férias seria 1/12 * 1/3 que corresponde a 11,11% , mas na cartilha da conta vinculada lançada em fevereiro de 2018, continua 12,10% para ser retido e pago na conta vinculada referente a provisão de férias e 1/3)</t>
        </r>
        <r>
          <rPr>
            <b/>
            <u/>
            <sz val="10"/>
            <color rgb="FF000000"/>
            <rFont val="Arial"/>
            <family val="2"/>
            <charset val="1"/>
          </rPr>
          <t>PORTANTO SE FAZ NECESSÁRIO CONTINUAR USANDO O CALCULO DO CNJ DE 12,10% EM CONTRATOS QUE UTILIZEM CONTA VINCULADA, POIS COMO PODERIAMOS RETER UM VALOR QUE NÃO ESTÁ PROVISIONADO NA PLANILHA)</t>
        </r>
      </text>
    </comment>
    <comment ref="G42" authorId="0">
      <text>
        <r>
          <rPr>
            <b/>
            <sz val="9"/>
            <color rgb="FF000000"/>
            <rFont val="Tahoma"/>
            <family val="2"/>
            <charset val="1"/>
          </rPr>
          <t>Usuário do Windows:</t>
        </r>
        <r>
          <rPr>
            <sz val="9"/>
            <color rgb="FF000000"/>
            <rFont val="Tahoma"/>
            <family val="2"/>
            <charset val="1"/>
          </rPr>
          <t>11,11% ou 12,10% Ler comentário na descrição do item FÉRIAS ao lado</t>
        </r>
      </text>
    </comment>
    <comment ref="B46" authorId="0">
      <text>
        <r>
          <rPr>
            <sz val="10"/>
            <color rgb="FF000000"/>
            <rFont val="Arial"/>
            <family val="2"/>
            <charset val="1"/>
          </rPr>
          <t>Contribuição de 20% sobre o total das remunerações destinada à Seguridade Social, conforme determina a Lei 8.212/91.</t>
        </r>
      </text>
    </comment>
    <comment ref="B47" authorId="0">
      <text>
        <r>
          <rPr>
            <sz val="10"/>
            <color rgb="FF000000"/>
            <rFont val="Arial"/>
            <family val="2"/>
            <charset val="1"/>
          </rPr>
          <t>Contribuições sociais destinadas ao Serviço Social da Indústria (SESI) e ao Serviço Social do Comércio (SESC). As empresas optantes pelo Simples Nacional são isentas. Para as demais empresas fica determinado o percentual de 1,5%.</t>
        </r>
      </text>
    </comment>
    <comment ref="D47" authorId="0">
      <text>
        <r>
          <rPr>
            <sz val="10"/>
            <color rgb="FF000000"/>
            <rFont val="Arial"/>
            <family val="2"/>
            <charset val="1"/>
          </rPr>
          <t>Usuário do Windows:
EMPRESAS OPTATANTES PELO SIMPLES ESTÃO ISENTAS DO PAGAMENTO DAS SEGUINTES CONTRIBUIÇÕES:  SESI ou SESC, SENAI ou SENAC, INCRA, Salário-Educação, SEBRAE, Portanto devem ser zeradas na Planilha.
Empresas de sessão de mão de obra não podem ser optantes pelo Simples com excessão das empresas que prestam serviços de serviços de vigilância, limpeza ou conservação desde que não exerçam em conjunto com outras atividades vedadas,c) Regime de Tributação – SIMPLES –Regime Especial Unificado de Arrecadação de Tributos e Contribuições – Microempresas (MEs) e Empresas de Pequeno Porte (EPPs) O SIMPLES consiste em um regime especial unificado de arrecadação de Tributos e Contribuições devidos pelas Microempresas e Empresas de Pequeno Porte, instituído pela Lei Complementar nº 123, de 14 de dezembro de 2006. Lembramos ainda que as microempresas e empresas de pequeno porte optantes pelo Simples Nacional ficam dispensadas do pagamento das demais contribuições instituídas pela União, tais como SESI ou SESC, SENAI ou SENAC, INCRA, Salário-Educação, SEBRAE, conforme expressa previsão legal contida no art. 13, § 3º da Lei Complementar nº 123/2006: § 3º  As microempresas e empresas de pequeno porte optantes pelo Simples Nacional ficam dispensadas do pagamento das demais contribuições instituídas pela União, inclusive as contribuições para as entidades privadas de serviço social e de formação profissional vinculadas ao sistema sindical, de que trata o art. 240 da Constituição Federal, e demais entidades de serviço social autônomo. Nem todas as microempresas ou empresas de pequeno porte poderão recolher os impostos e contribuições na forma do Simples, como por exemplo, as empresas que exercem atividade de cessão ou locação de mão de obra8. As vedações ao ingresso no Simples Nacional estão previstas no art. 17 da Lei Complementar nº 123/2006. 
8 Entende-se por cessão de mão de obra a colocação à disposição da empresa contratante, em suas dependências ou nas de terceiros, de trabalhadores que realizem serviços contínuos, relacionados ou não com sua atividade fim, quaisquer que sejam a natureza e a forma de contratação, inclusive por meio de trabalho temporário na forma da Lei nº 6.019, de 3 de janeiro de 1974. (art.115 Instrução Normativa RFB nº 971, de 13 de novembro de 2009)
117
CAPÍTULO VI – COMPOSIÇÃO DA PLANILHA DE CUSTO E FORMAÇÃO DE PREÇO 
Art. 17. Não poderão recolher os impostos e contribuições na forma do Simples Nacional a microempresa ou a empresa de pequeno porte: (...) XII – que realize cessão ou locação de mão de obra; É importante ressaltar que as vedações previstas no caput do art. 17 da LC nº 123/2006 não se aplicam às pessoas jurídicas que se dediquem exclusivamente às atividades referidas nos §§ 5o-B a 5o-E do art. 18 da Lei Complementar multicitada, ou as exerçam em conjunto com outras atividades que não tenham sido objeto de vedação no mesmo caput. Não se incluem nas vedações, por exemplo, as empresas que prestam serviços de vigilância, limpeza ou conservação desde que não exerçam em conjunto com outras atividades vedadas.
LC 123/2006 – §§ 5o-B a 5o-E do art. 18 da Lei Complementar nº 123/2006 § 5º-H.  A vedação de que trata o inciso XII do caput do art. 17 desta Lei Complementar não se aplica às atividades referidas no § 5º-C deste artigo. (Incluído pela Lei Complementar nº 128, de 2008) § 5º-C.  Sem prejuízo do disposto no § 1º do art. 17 desta Lei Complementar, as atividades de prestação de serviços seguintes serão tributadas na forma do Anexo IV desta Lei Complementar, hipótese em que não estará incluída no Simples Nacional a contribuição prevista no inciso VI do caput do art. 13 desta Lei Complementar, devendo ela ser recolhida segundo a legislação prevista para os demais contribuintes ou responsáveis: (Incluído pela Lei Complementar nº 128, de 2008) (...) VI – serviço de vigilância, limpeza ou conservação. (Incluído pela Lei Complementar nº 128, de 2008)</t>
        </r>
      </text>
    </comment>
    <comment ref="G47" authorId="0">
      <text>
        <r>
          <rPr>
            <sz val="9"/>
            <color rgb="FF000000"/>
            <rFont val="Tahoma"/>
            <family val="2"/>
            <charset val="1"/>
          </rPr>
          <t>Zerar se for optante pelo simples</t>
        </r>
      </text>
    </comment>
    <comment ref="B48" authorId="0">
      <text>
        <r>
          <rPr>
            <sz val="10"/>
            <color rgb="FF000000"/>
            <rFont val="Arial"/>
            <family val="2"/>
            <charset val="1"/>
          </rPr>
          <t>Contribuição ao Serviço Nacional de Aprendizagem Industrial (SENAI) e ao Serviço Nacional de Aprendizagem Comercial (SENAC). As empresas optantes pelo Simples Nacional são isentas. Para as demais empresas com menos de 500 empregados a incidência é de 1% e para as empresas com mais de 500 empregados a incidência é de 1,2%.</t>
        </r>
      </text>
    </comment>
    <comment ref="G48" authorId="0">
      <text>
        <r>
          <rPr>
            <b/>
            <sz val="9"/>
            <color rgb="FF000000"/>
            <rFont val="Tahoma"/>
            <family val="2"/>
            <charset val="1"/>
          </rPr>
          <t>Usuário do Windo</t>
        </r>
        <r>
          <rPr>
            <sz val="9"/>
            <color rgb="FF000000"/>
            <rFont val="Tahoma"/>
            <family val="2"/>
            <charset val="1"/>
          </rPr>
          <t>Zerar se for optante pelo simples</t>
        </r>
      </text>
    </comment>
    <comment ref="B49" authorId="0">
      <text>
        <r>
          <rPr>
            <sz val="10"/>
            <color rgb="FF000000"/>
            <rFont val="Arial"/>
            <family val="2"/>
            <charset val="1"/>
          </rPr>
          <t>Contribuição ao Instituto Nacional de Colonização e Reforma Agrária. As empresas optantes pelo Simples Nacional são isentas e as demais empresas pagam um percentual de 0,2%.</t>
        </r>
      </text>
    </comment>
    <comment ref="G49" authorId="0">
      <text>
        <r>
          <rPr>
            <b/>
            <sz val="9"/>
            <color rgb="FF000000"/>
            <rFont val="Tahoma"/>
            <family val="2"/>
            <charset val="1"/>
          </rPr>
          <t>Usuário do Windows:</t>
        </r>
        <r>
          <rPr>
            <sz val="9"/>
            <color rgb="FF000000"/>
            <rFont val="Tahoma"/>
            <family val="2"/>
            <charset val="1"/>
          </rPr>
          <t>Zerar se for optante pelo simples</t>
        </r>
      </text>
    </comment>
    <comment ref="B50" authorId="0">
      <text>
        <r>
          <rPr>
            <sz val="10"/>
            <color rgb="FF000000"/>
            <rFont val="Arial"/>
            <family val="2"/>
            <charset val="1"/>
          </rPr>
          <t>Contribuição social destinada ao financiamento da educação básica nos termos da Constituição Federal à base de 2,5%. As empresas optantes pelo Simples Nacional são isentas.</t>
        </r>
      </text>
    </comment>
    <comment ref="G50" authorId="0">
      <text>
        <r>
          <rPr>
            <b/>
            <sz val="9"/>
            <color rgb="FF000000"/>
            <rFont val="Tahoma"/>
            <family val="2"/>
            <charset val="1"/>
          </rPr>
          <t>Usuário do Windows:</t>
        </r>
        <r>
          <rPr>
            <sz val="9"/>
            <color rgb="FF000000"/>
            <rFont val="Tahoma"/>
            <family val="2"/>
            <charset val="1"/>
          </rPr>
          <t>Zerar se for optante pelo simples</t>
        </r>
      </text>
    </comment>
    <comment ref="B51" authorId="0">
      <text>
        <r>
          <rPr>
            <sz val="10"/>
            <color rgb="FF000000"/>
            <rFont val="Arial"/>
            <family val="2"/>
            <charset val="1"/>
          </rPr>
          <t>O Fundo de Garantia do Tempo de Serviço (FGTS) constitui-se em um pecúlio disponibilizado quando da aposentadoria ou morte do trabalhador e representa uma garantia para a indenização do tempo de serviço nos casos de demissão imotivada. É garantido pela Constituição Federal à base de 8%.</t>
        </r>
      </text>
    </comment>
    <comment ref="B52" authorId="0">
      <text>
        <r>
          <rPr>
            <sz val="10"/>
            <color rgb="FF000000"/>
            <rFont val="Arial"/>
            <family val="2"/>
            <charset val="1"/>
          </rPr>
          <t>Contribuição destinada a custear benefícios concedidos em razão do grau de incidência de incapacidade laborativa decorrentes dos riscos ambientais do trabalho. Pode ser estabelecido em:
SEG.ACID.TRAB. FAP X RAT ( Art. 22,II, da Lei n° 8.212/91).Alíquotas do SAT em função do FAP(Decreto n° 6.042/07 e n° 6.957/09).Fap(Anexo da RESOLUÇÃO mps/cnps n° 1.316/10)=alíquota do FAPx perc. Do SAT
Esses Perecentuais devem ser conferidos pelo pregoeiro e equipe de apoio, com base na GFIP
1% quando o risco de acidentes do trabalho for considerado leve.
2% quando o risco de acidentes do trabalho for considerado médio.
3% quando o risco de acidentes do trabalho for considerado grave.</t>
        </r>
      </text>
    </comment>
    <comment ref="G52" authorId="0">
      <text>
        <r>
          <rPr>
            <b/>
            <sz val="9"/>
            <color rgb="FF000000"/>
            <rFont val="Tahoma"/>
            <family val="2"/>
            <charset val="1"/>
          </rPr>
          <t>Usuário do Windows:</t>
        </r>
        <r>
          <rPr>
            <sz val="9"/>
            <color rgb="FF000000"/>
            <rFont val="Tahoma"/>
            <family val="2"/>
            <charset val="1"/>
          </rPr>
          <t>JURISPRUDÊNCIA - TCU (Acórdão  2.554/2010 - Primeira Câmara) 
7. Com relação aos itens de custo não cotados ou cotados a menor pela empresa vencedora do certame (como o “Seguro de Acidente de Trabalho”, a “Assistência Social Familiar Sindical”, a “Assistência Social” e os benefícios indiretos concedidos pelas empresas aos empregados),</t>
        </r>
        <r>
          <rPr>
            <b/>
            <sz val="9"/>
            <color rgb="FF000000"/>
            <rFont val="Tahoma"/>
            <family val="2"/>
            <charset val="1"/>
          </rPr>
          <t>não chegam a invalidar a proposta da licitante, mas devem ser objeto de acompanhamento pelo CBPF,</t>
        </r>
        <r>
          <rPr>
            <sz val="9"/>
            <color rgb="FF000000"/>
            <rFont val="Tahoma"/>
            <family val="2"/>
            <charset val="1"/>
          </rPr>
          <t>com a verificação do cumprimento, pela contratada, de suas obrigações trabalhistas em conformidade com a legislação, de forma a resguardar a Administração de eventual responsabilização solidária</t>
        </r>
        <r>
          <rPr>
            <b/>
            <sz val="9"/>
            <color rgb="FF000000"/>
            <rFont val="Tahoma"/>
            <family val="2"/>
            <charset val="1"/>
          </rPr>
          <t>, não podendo essas obrigações importar em eventual acréscimo contratual, considerando que a empresa tem o dever de honrar sua proposta na licitação,</t>
        </r>
        <r>
          <rPr>
            <sz val="9"/>
            <color rgb="FF000000"/>
            <rFont val="Tahoma"/>
            <family val="2"/>
            <charset val="1"/>
          </rPr>
          <t>prestando os serviços contratados pelo preço acordado entre as partes</t>
        </r>
      </text>
    </comment>
    <comment ref="B53" authorId="0">
      <text>
        <r>
          <rPr>
            <sz val="10"/>
            <color rgb="FF000000"/>
            <rFont val="Arial"/>
            <family val="2"/>
            <charset val="1"/>
          </rPr>
          <t>Contribuição social repassada ao Serviço Brasileiro de Apoio à Pequena e Média Empresa (SEBRAE), destinado a custear os programas de apoio à pequena e média empresa à base de 0,6%. As empresas optantes pelo Simples Nacional são isentas.</t>
        </r>
      </text>
    </comment>
    <comment ref="G53" authorId="0">
      <text>
        <r>
          <rPr>
            <b/>
            <sz val="9"/>
            <color rgb="FF000000"/>
            <rFont val="Tahoma"/>
            <family val="2"/>
            <charset val="1"/>
          </rPr>
          <t>Usuário do Windows:</t>
        </r>
        <r>
          <rPr>
            <sz val="9"/>
            <color rgb="FF000000"/>
            <rFont val="Tahoma"/>
            <family val="2"/>
            <charset val="1"/>
          </rPr>
          <t>Zerar se for optante pelo simples</t>
        </r>
      </text>
    </comment>
    <comment ref="G60" authorId="0">
      <text>
        <r>
          <rPr>
            <sz val="10"/>
            <color rgb="FF000000"/>
            <rFont val="Arial"/>
            <family val="2"/>
            <charset val="1"/>
          </rPr>
          <t>Pode variar conforme CCT. Sempre verificar.</t>
        </r>
      </text>
    </comment>
    <comment ref="B74" authorId="0">
      <text>
        <r>
          <rPr>
            <b/>
            <sz val="9"/>
            <color rgb="FF000000"/>
            <rFont val="Tahoma"/>
            <family val="2"/>
            <charset val="1"/>
          </rPr>
          <t>Usuário do Windows:</t>
        </r>
        <r>
          <rPr>
            <sz val="9"/>
            <color rgb="FF000000"/>
            <rFont val="Tahoma"/>
            <family val="2"/>
            <charset val="1"/>
          </rPr>
          <t>FUNDAMENTAÇÃO LEGAL - Constituição Federal de 1988 (Art. 7°, inciso XXI) - CLT (Art. 477, art. 487 a 491) - Observação (1) - Aviso Prévio Indenizado – Estudos CNJ – Resolução 98/2009  Aviso Prévio indenizado - 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término do contrato de trabalho. Cálculo ((1/12)x 0,05) x 100 =0,42%.</t>
        </r>
      </text>
    </comment>
    <comment ref="B75" authorId="0">
      <text>
        <r>
          <rPr>
            <b/>
            <sz val="9"/>
            <color rgb="FF000000"/>
            <rFont val="Tahoma"/>
            <family val="2"/>
            <charset val="1"/>
          </rPr>
          <t>Usuário do Windows:</t>
        </r>
        <r>
          <rPr>
            <sz val="9"/>
            <color rgb="FF000000"/>
            <rFont val="Tahoma"/>
            <family val="2"/>
            <charset val="1"/>
          </rPr>
          <t>aplicar o percentual do FGTS sobre o Aviso Prévio Indenizado.</t>
        </r>
        <r>
          <rPr>
            <b/>
            <sz val="9"/>
            <color rgb="FF000000"/>
            <rFont val="Tahoma"/>
            <family val="2"/>
            <charset val="1"/>
          </rPr>
          <t>Ex 8% X 0,42% = 0,03%</t>
        </r>
      </text>
    </comment>
    <comment ref="B76" authorId="0">
      <text>
        <r>
          <rPr>
            <b/>
            <sz val="9"/>
            <color rgb="FF000000"/>
            <rFont val="Tahoma"/>
            <family val="2"/>
            <charset val="1"/>
          </rPr>
          <t>Usuário do Windows:</t>
        </r>
        <r>
          <rPr>
            <sz val="9"/>
            <color rgb="FF000000"/>
            <rFont val="Tahoma"/>
            <family val="2"/>
            <charset val="1"/>
          </rPr>
          <t>FUNDAMENTAÇÃO LEGAL - Jurisprudência - TCU (Acórdão 2.217/2010 – Plenário - vide apêndice pág. 52)
49 Multa do FGTS do aviso prévio indenizado: valor da multa do FGTS indenizado (40%) + contribuição social sobre o FGTS (10%), que incide sobre a alíquota do FGTS (8%) aplicado sobre o custo de referência do aviso prévio indenizado.
 FUNDAMENTAÇÃO LEGAL - Lei nº 8.036, de 11 de maio de 1990 (Art. 18 § 1º) com redação dada pela Lei nº 9.491, de 9 de setembro de 1997. - Lei Complementar nº 110, de 29 de junho de 2001. (Art. 1°) - Observação (2) - Aviso Prévio Indenizado – Estudos CNJ – Resolução 98/2009 Multa FGTS - Rescisão sem Justa Causa: A Lei Complementar nº 110, de 29 de junho de 2001, determina multa de 50%, da soma dos depósitos do FGTS, no caso de rescisão sem justa causa. Considerando que 10% dos empregados pedem contas, essa penalidade recai sobre os 90% remanescentes. Considerando o pagamento da multa para os valores depositados relativos a salários, férias e 13º salário o cálculo dessa provisão corresponde a: 0,08 x 0,5 x 0,9 x (1 + 5/56 + 5/56 + 1/3 * 5/56) = 4,35%.</t>
        </r>
      </text>
    </comment>
    <comment ref="G76" authorId="0">
      <text>
        <r>
          <rPr>
            <b/>
            <sz val="10"/>
            <color rgb="FF000000"/>
            <rFont val="Arial"/>
            <family val="2"/>
            <charset val="1"/>
          </rPr>
          <t>1°- Não havendo conta vinculada o valor de referência estabelecido no Manual de preenchimento de planilhas do MPOG é de 4,35% APT+API.
FUNDAMENTAÇÃO LEGAL -</t>
        </r>
        <r>
          <rPr>
            <sz val="10"/>
            <color rgb="FF000000"/>
            <rFont val="Arial"/>
            <family val="2"/>
            <charset val="1"/>
          </rPr>
          <t>Lei nº 8.036, de 11 de maio de 1990 (Art. 18 § 1º) com redação dada pela Lei nº 9.491, de 9 de setembro de 1997. - Lei Complementar nº 110, de 29 de junho de 2001. (Art. 1°) -Aviso Prévio Indenizado – Estudos CNJ – Resolução 98/2009 Multa FGTS - Rescisão sem Justa Causa: A Lei Complementar nº 110, de 29 de junho de 2001, determina multa de 50%, da soma dos depósitos do FGTS, no caso de rescisão sem justa causa. Considerando que 10% dos empregados pedem contas, essa penalidade recai sobre os 90% remanescentes.Considerando o pagamento da multa para os valores depositados relativos a salários, férias e 13º salário o cálculo dessa provisão corresponde a: 0,08 x 0,5 x 0,9 x (1 + 5/56 + 5/56 + 1/3 * 5/56) = 4,35%.Onde 0,08 Corresponde ao % dop FGTS;  0,5 é os 50% da multa FGTS ; 0,9 corresponde é o percentual de funcionários que são demitidos sem justa causa;( 1 representa uma remuneração; 5/56 representa 5 meses de férias que um funcionário dentro de um periodo de 56 meses este raciocionio vale para férias e 13° e por fim 1/3 de 5/56 que é um terço constitucional de féria).
---------------------------------------------------------------------------------------------------------------------
2° Quando for exigido conta vinculada :Conforme orientações do MPOG, Quando houver conta vinculada, tanto para o Aviso Prévio Trabalhado quanto para o Aviso Prévio Indenizado, a porcentagem que irá incidir é de 5% soma dos dois avisos (API+APT) sobre o custo de referência.
E também foi orientado que está correto o raciocínio de ponderar os 5% entre o API e o APT, não precisando ser exatamente 50% pra cada. Isso dependerá das características intrínsecas de cada empresa e tipo de serviço, podendo ser definido pelo fornecedor desde que os 2 itens fechem em 5% no caso de ter conta vinculada.</t>
        </r>
      </text>
    </comment>
    <comment ref="B77" authorId="0">
      <text>
        <r>
          <rPr>
            <b/>
            <sz val="9"/>
            <color rgb="FF000000"/>
            <rFont val="Tahoma"/>
            <family val="2"/>
            <charset val="1"/>
          </rPr>
          <t>Usuário do Windows:</t>
        </r>
        <r>
          <rPr>
            <sz val="9"/>
            <color rgb="FF000000"/>
            <rFont val="Tahoma"/>
            <family val="2"/>
            <charset val="1"/>
          </rPr>
          <t>[(1 salário integral / 30 dias) x 7 dias] / 12 meses = 1,94% é o índice.Acórdão 1186/2017 Plenário (Auditoria, Relator Ministro-Substituto Augusto Sherman)
Licitação. Orçamento estimativo. Encargos sociais. Aviso prévio. Terceirização. Limite máximo. Prorrogação de contrato.
Nas licitações para contratação de mão de obra terceirizada, a Administração deve estabelecer na minuta do contrato que a parcela mensal a título de aviso prévio trabalhado será no percentualmáximo de 1,94% no primeiro ano, e, em caso de prorrogação do contrato, o percentual máximo dessa parcela será de0,194% a cada ano de prorrogação, a ser incluído por ocasião da formulação do aditivo da prorrogação do contrato, conforme a Lei 12.506/2011.</t>
        </r>
      </text>
    </comment>
    <comment ref="G83" authorId="0">
      <text>
        <r>
          <rPr>
            <sz val="10"/>
            <color rgb="FF000000"/>
            <rFont val="Arial"/>
            <family val="2"/>
            <charset val="1"/>
          </rPr>
          <t>Opnião Edilson:
A IN 05/2017, trouxe uma novidade com relação as férias, antes tinhamos calculado separado neste campo o %  das férias e em outro campo o % do (1/3) terço constitucional que no cálculo do CNJ seria 12,10%.
Mas  agora  a IN 05/2017, trouxe no submódulo 2.1 as férias e o 1/3 juntos, e repetiu o item  férias mais uma vez no Módulo 4 - como Custo de Reposição do Profissional Ausente.
Tenho visto alguns colocarem novamente o percentual de 12,10% ou 11,11%, o que no meu ponto está redondamente errado.
 O Texto da IN 05/2017 trouxe o seguinte texto:
Nota: As alíneas “A” a “F” referem-se somente ao custo que será pago ao repositor pelos dias
trabalhados</t>
        </r>
        <r>
          <rPr>
            <b/>
            <u/>
            <sz val="10"/>
            <color rgb="FF000000"/>
            <rFont val="Arial"/>
            <family val="2"/>
            <charset val="1"/>
          </rPr>
          <t>quando da necessidade de substituir</t>
        </r>
        <r>
          <rPr>
            <sz val="10"/>
            <color rgb="FF000000"/>
            <rFont val="Arial"/>
            <family val="2"/>
            <charset val="1"/>
          </rPr>
          <t>a mão de obra alocada na prestação do serviço.
Com base neste texto, até que saia o manual de preenchimento da planilha existem 2 opções:
1° Deixar em Branco: já que é novo e o valor é irrisório.
2° Calcular o percentual das férias+1 /3  + 13° salário e dividir por 12 e os seus reflexos que já seram automaticamente cáculados na letra F ( incidencia submodulo 2.1).</t>
        </r>
      </text>
    </comment>
    <comment ref="F84" authorId="0">
      <text>
        <r>
          <rPr>
            <b/>
            <sz val="9"/>
            <color rgb="FF000000"/>
            <rFont val="Tahoma"/>
            <family val="2"/>
            <charset val="1"/>
          </rPr>
          <t>Usuário do Windows:
CUSTO NÃO RENOVÁVEL :</t>
        </r>
        <r>
          <rPr>
            <sz val="9"/>
            <color rgb="FF000000"/>
            <rFont val="Tahoma"/>
            <family val="2"/>
            <charset val="1"/>
          </rPr>
          <t>VALE LEMBRAR QUE POR OCASIÃO DAS PRORROGAÇÕES DEVE SE VERIFICAR SE ESSE VALOR PROVISIONADO FOI UTILIZADO, SE NÃO FOR OU FOR UTILIZADO EM PARTES, DEVE SER RETIRADO OU COLOCADO PROPORCIONALMENTE O % UTILIZADO.</t>
        </r>
        <r>
          <rPr>
            <b/>
            <sz val="9"/>
            <color rgb="FF000000"/>
            <rFont val="Tahoma"/>
            <family val="2"/>
            <charset val="1"/>
          </rPr>
          <t>(O RACIOCÍNIO VALE PARA TODOS OS ITENS DESTA TABELA DO SUBMÓDULO 4.1)</t>
        </r>
      </text>
    </comment>
    <comment ref="G84" authorId="0">
      <text>
        <r>
          <rPr>
            <sz val="10"/>
            <color rgb="FF000000"/>
            <rFont val="Arial"/>
            <family val="2"/>
            <charset val="1"/>
          </rPr>
          <t>Ausências previstas na legislação vigente que é composta por um conjunto de casos em que o funcionário pode se ausentar sem perda da remuneração.
Considerando que o empregado tenha apenas uma falta legal durante o período de 1 ano, temos:
Cálculo:
1/360 = 0,002777 = 0,27%
Esse valor pode variar conforme dados estatísticos da empresa.</t>
        </r>
      </text>
    </comment>
    <comment ref="G85" authorId="0">
      <text>
        <r>
          <rPr>
            <sz val="10"/>
            <color rgb="FF000000"/>
            <rFont val="Arial"/>
            <family val="2"/>
            <charset val="1"/>
          </rPr>
          <t>Concede ao empregado o direito de ausentar-se do serviço por cinco dias quando do nascimento de filho. De acordo com o IBGE, nascem filhos de 1,5% dos trabalhadores no período de um ano. Dessa forma a provisão para este item corresponde a:
((5/30)/12) x 0,015 x 100 = 0,02%
Esse valor pode variar conforme dados estatísticos da empresa.</t>
        </r>
      </text>
    </comment>
    <comment ref="F86" authorId="0">
      <text>
        <r>
          <rPr>
            <b/>
            <sz val="9"/>
            <color indexed="81"/>
            <rFont val="Tahoma"/>
            <family val="2"/>
          </rPr>
          <t>UFERSA:</t>
        </r>
        <r>
          <rPr>
            <sz val="9"/>
            <color indexed="81"/>
            <rFont val="Tahoma"/>
            <family val="2"/>
          </rPr>
          <t xml:space="preserve">
O auxílio-acidente é o afastamento por mais de 15 dias do trabalho em
virtude de acidentes no exercício da atividade profissional, ou doenças adquiridas ou desencadeadas pelo exercício do trabalho ou das condições em que este é realizado e com ele se relacione diretamente. O custo estimado nessa rubrica corresponde apenas aos primeiros 15 dias, o qual é obrigação da empresa a cobertura do mesmo, sendo após 15 dias, o benefício será coberto pela Previdência Social. O percentual de 0,06% é igual ao número de dias cobertos pela empresa em um mês dentro de um ano multiplicado por 1,33%  conforme  Anuário Estatístico de Acidentes do Trabalho-2016(AEAT/INSS2016)(http://sa.previdencia.gov.br/site/2018/04/AEAT-2016.pdf). 
</t>
        </r>
      </text>
    </comment>
    <comment ref="G86" authorId="0">
      <text>
        <r>
          <rPr>
            <sz val="10"/>
            <color rgb="FF000000"/>
            <rFont val="Arial"/>
            <family val="2"/>
            <charset val="1"/>
          </rPr>
          <t>Valor do custo referente aos 15 primeiros dias em que o empregado encontra-se afastado por acidente de trabalho e a empresa contratada tem o dever de remunerá-lo. Após esse período o ônus passa a ser do INSS. De acordo com os números mais recentes apresentados pelo Ministério da Previdência e Assistência Social, baseados em informações prestadas pelos empregadores, por meio de GFIP, 0,78% dos empregados se acidentam no ano. Assim, a provisão corresponde a:
((15/30)/12) x 0,0078 x 100 = 0,03%
Esse valor pode variar conforme dados estatísticos da empresa.</t>
        </r>
      </text>
    </comment>
    <comment ref="B88" authorId="0">
      <text>
        <r>
          <rPr>
            <b/>
            <sz val="9"/>
            <color rgb="FF000000"/>
            <rFont val="Tahoma"/>
            <family val="2"/>
            <charset val="1"/>
          </rPr>
          <t>Usuário do Windows:</t>
        </r>
        <r>
          <rPr>
            <sz val="9"/>
            <color rgb="FF000000"/>
            <rFont val="Tahoma"/>
            <family val="2"/>
            <charset val="1"/>
          </rPr>
          <t>Esse item (Ausência por doença), foi exlcuido do modelo de tabela da IN05/2017, mas não foi dito o motivo, nem mesmo se deveria ser computado por exemplo com o item Ausências Legais,</t>
        </r>
        <r>
          <rPr>
            <b/>
            <sz val="9"/>
            <color rgb="FF000000"/>
            <rFont val="Tahoma"/>
            <family val="2"/>
            <charset val="1"/>
          </rPr>
          <t>enquanto não sai o manual de prenchimento de planilha</t>
        </r>
        <r>
          <rPr>
            <sz val="9"/>
            <color rgb="FF000000"/>
            <rFont val="Tahoma"/>
            <family val="2"/>
            <charset val="1"/>
          </rPr>
          <t>prometido pelo Ministério do Planejamento acho prudente continuar usando o percentual por se tratar do mais impactante na planilha de custos.</t>
        </r>
      </text>
    </comment>
    <comment ref="G88" authorId="0">
      <text>
        <r>
          <rPr>
            <sz val="10"/>
            <color rgb="FF000000"/>
            <rFont val="Arial"/>
            <family val="2"/>
            <charset val="1"/>
          </rPr>
          <t>Esta parcela refere-se aos dias em que o empregado fica doente e a contratada deve providenciar sua substituição. Entendemos que deva ser adotado 5,96 dias, conforme consta no memorial de cálculo encaminhado pelo MP, devendo-se converter esses dias em mês e depois dividi-lo pelo número de meses no ano. (Acórdão 1753/2008 – Plenário TCU)
Cálculo:
(5,96/30)/12 x 100 = 1,66%;
Esse valor pode variar conforme dados estatísticos da empresa.</t>
        </r>
      </text>
    </comment>
    <comment ref="B94" authorId="0">
      <text>
        <r>
          <rPr>
            <b/>
            <sz val="9"/>
            <color rgb="FF000000"/>
            <rFont val="Tahoma"/>
            <family val="2"/>
            <charset val="1"/>
          </rPr>
          <t>Usuário do Windows:</t>
        </r>
        <r>
          <rPr>
            <sz val="9"/>
            <color rgb="FF000000"/>
            <rFont val="Tahoma"/>
            <family val="2"/>
            <charset val="1"/>
          </rPr>
          <t>Texto extraído da IN 05/2017 
Nota: Quando houver a necessidade de reposição de um empregado durante sua ausência nos casos de intervalo para repouso ou alimentação deve-se contemplar o Submódulo 4.2.</t>
        </r>
      </text>
    </comment>
    <comment ref="B108" authorId="0">
      <text>
        <r>
          <rPr>
            <b/>
            <sz val="9"/>
            <color rgb="FF000000"/>
            <rFont val="Tahoma"/>
            <family val="2"/>
            <charset val="1"/>
          </rPr>
          <t>Usuário do Windows:</t>
        </r>
        <r>
          <rPr>
            <sz val="9"/>
            <color rgb="FF000000"/>
            <rFont val="Tahoma"/>
            <family val="2"/>
            <charset val="1"/>
          </rPr>
          <t> Definição
Correspondem aos dispêndios relativos aos custos indiretos, tributos e lucros. Na metodologia de cálculo dos valores limites é denominado CITL.</t>
        </r>
      </text>
    </comment>
    <comment ref="F109" authorId="0">
      <text>
        <r>
          <rPr>
            <b/>
            <sz val="9"/>
            <color rgb="FF000000"/>
            <rFont val="Tahoma"/>
            <family val="2"/>
            <charset val="1"/>
          </rPr>
          <t>Usuário do Windows:
Texto extraído do Manual de preenchimento de Planilha MPOG 2011</t>
        </r>
        <r>
          <rPr>
            <sz val="9"/>
            <color rgb="FF000000"/>
            <rFont val="Tahoma"/>
            <family val="2"/>
            <charset val="1"/>
          </rPr>
          <t>Nota Explicativa: 
Custos indiretos: são os gastos da contratada com sua estrutura administrativa, organizacional e gerenciamento de seus contratos, tais como as despesas relativas a: a) funcionamento e manutenção da sede, tais como aluguel, água, luz, telefone, o Imposto Predial Territorial Urbano – IPTU, dentre outros; b) pessoal administrativo; c) material e equipamentos de escritório; d) supervisão de serviços;  e) seguros.
 -</t>
        </r>
        <r>
          <rPr>
            <b/>
            <sz val="9"/>
            <color rgb="FF000000"/>
            <rFont val="Tahoma"/>
            <family val="2"/>
            <charset val="1"/>
          </rPr>
          <t>Observação (1) -  No cálculo dos valores limites para os serviços de vigilância e limpeza foram estabelecidos os percentuais de 6% e 3% respectivamente</t>
        </r>
        <r>
          <rPr>
            <sz val="9"/>
            <color rgb="FF000000"/>
            <rFont val="Tahoma"/>
            <family val="2"/>
            <charset val="1"/>
          </rPr>
          <t>. Os custos indiretos são calculados mediante incidência daqueles percentuais sobre o somatório da remuneração, benefícios mensais e diários, insumos diversos, encargos sociais e trabalhistas.</t>
        </r>
        <r>
          <rPr>
            <b/>
            <sz val="12"/>
            <color rgb="FFFF0000"/>
            <rFont val="Tahoma"/>
            <family val="2"/>
            <charset val="1"/>
          </rPr>
          <t>Na verdade o esse texto traz arredondamentos, sendo que a Margem de lucro definida em estudo na Caderno de Limpeza do MPOG 2014 é</t>
        </r>
        <r>
          <rPr>
            <b/>
            <sz val="12"/>
            <color rgb="FF000000"/>
            <rFont val="Tahoma"/>
            <family val="2"/>
            <charset val="1"/>
          </rPr>
          <t>de 6,79% para Lucro e 3% para Custos Indiretos</t>
        </r>
        <r>
          <rPr>
            <b/>
            <sz val="12"/>
            <color rgb="FFFF0000"/>
            <rFont val="Tahoma"/>
            <family val="2"/>
            <charset val="1"/>
          </rPr>
          <t>, para os serviços de Vigilância e limpeza</t>
        </r>
        <r>
          <rPr>
            <sz val="9"/>
            <color rgb="FF000000"/>
            <rFont val="Tahoma"/>
            <family val="2"/>
            <charset val="1"/>
          </rPr>
          <t>________________________________________________________________________________________________________________</t>
        </r>
        <r>
          <rPr>
            <b/>
            <sz val="9"/>
            <color rgb="FF000000"/>
            <rFont val="Tahoma"/>
            <family val="2"/>
            <charset val="1"/>
          </rPr>
          <t>IN nº 05/17 – anexo vii-a</t>
        </r>
        <r>
          <rPr>
            <sz val="9"/>
            <color rgb="FF000000"/>
            <rFont val="Tahoma"/>
            <family val="2"/>
            <charset val="1"/>
          </rPr>
          <t>9.2  Consideram-se preços manifestamente inexeqüíveis aqueles que, comprovadamente, forem insuficientes para a cobertura dos custos decorrentes da contratação pretendida.
9.3 A inexeqüibilidade dos valores referentes a itens isolados da planilha de custos  e formação de preços não caracteriza motivo suficiente para a desclassificação da proposta, , desde que não contrariem exigências legais.
9.4 Se houver indícios de inexequibilidade da proposta de preço, ou em caso da necessidade de esclarecimentos complementares, poderá ser efetuada diligência, na forma do § 3° do art. 43 da Lei n° 8.666, de 1993, para efeito de comprovação de sua exequibilidade, podendo ser adotado, dentre outros, os seguintes procedimentos:
questionamentos junto à proponente para a apresentação de justificativas e comprovações em relação aos custos com indícios de inexequibilidade;verificação de Acordos, Convenções ou Dissídios Coletivos de Trabalho;levantamento de informações junto ao Ministério do Trabalho; consultas a entidades ou conselhos de classe, sindicatos ou similares; pesquisas em órgãos públicos ou empresas privadas verificação de outros contratos que o proponente mantenha com a Administração ou com a iniciativa privada;pesquisa de preço com fornecedores dos insumos utilizados, tais como: atacadistas, lojas de suprimentos,supermercados e fabricantes;verificação de notas fiscais dos produtos adquiridos pelo proponente;
levantamento de indicadores salariais ou trabalhistas publicados por órgãos de pesquisa;estudos setoriais;consultas às Fazendas Federal, Distrital, Estadual ou Municipal; eanálise de soluções técnicas escolhidas e/ou condições excepcionalmente favoráveis que o proponente disponha para a prestação dos serviços.
9.5 Qualquer interessado poderá requerer que se realizem diligências para aferir a exequibilidade e a legalidade das propostas, devendo apresentar as provas ou os indícios que fundamentam o pedido;
9.6 Quando o licitante apresentar</t>
        </r>
        <r>
          <rPr>
            <b/>
            <sz val="9"/>
            <color rgb="FF000000"/>
            <rFont val="Tahoma"/>
            <family val="2"/>
            <charset val="1"/>
          </rPr>
          <t>preço final inferior a 30% da média dos preços ofertados</t>
        </r>
        <r>
          <rPr>
            <sz val="9"/>
            <color rgb="FF000000"/>
            <rFont val="Tahoma"/>
            <family val="2"/>
            <charset val="1"/>
          </rPr>
          <t>para o mesmo item, e a inexequibilidade da proposta não for flagrante e evidente pela análise da planilha de custos e formação de preços,</t>
        </r>
        <r>
          <rPr>
            <b/>
            <sz val="9"/>
            <color rgb="FF000000"/>
            <rFont val="Tahoma"/>
            <family val="2"/>
            <charset val="1"/>
          </rPr>
          <t>não sendo possível a sua imediata desclassificaçã</t>
        </r>
        <r>
          <rPr>
            <sz val="9"/>
            <color rgb="FF000000"/>
            <rFont val="Tahoma"/>
            <family val="2"/>
            <charset val="1"/>
          </rPr>
          <t>o, será obrigatória a realização de diligências para aferir a legalidade e exequibilidade da proposta.
________________________________________________________________________________________________________________</t>
        </r>
        <r>
          <rPr>
            <b/>
            <sz val="9"/>
            <color rgb="FF000000"/>
            <rFont val="Tahoma"/>
            <family val="2"/>
            <charset val="1"/>
          </rPr>
          <t>TCU –Acórdão nº 1.214/2013 – Plenário
III.H percentuais mínimos aceitáveis para encargos sociais e ldi</t>
        </r>
        <r>
          <rPr>
            <sz val="9"/>
            <color rgb="FF000000"/>
            <rFont val="Tahoma"/>
            <family val="2"/>
            <charset val="1"/>
          </rPr>
          <t>219. Do mesmo modo, lucro, como se sabe, pode ser maximizado com uma boa gestão de mão de obra, mas não se deve abrir mão de um mínimo aceitável, pois não é crível que prestadores de serviços estejam dispostos a trabalharem de graça para o erário. Não fixar lucro mínimo é um incentivo para que as empresas avancem sobre outras verbas, como direitos trabalhistas, tributos e contribuições compulsórias, como tem sido praxe.
220. Também as despesas administrativas, devem ser objeto de análise pela administração, pois não é razoável que a empresa não possua esse gasto. No entanto, é aceitável que existam justificativas para reduzí-lo ou eliminá-lo, por exemplo, que a empresa administre muitos contratos, ou que se trate de uma empresa familiar, mas para isso a empresa necessite apresenta-las.
_______________________________________________________________________________________________________________</t>
        </r>
        <r>
          <rPr>
            <b/>
            <sz val="9"/>
            <color rgb="FF000000"/>
            <rFont val="Tahoma"/>
            <family val="2"/>
            <charset val="1"/>
          </rPr>
          <t>Mas em outro acordão o TCU definiu que  os % são livres para serem definidos por cada fornecedor:
(Acórdão 325/2007-TCU-Plenário).Não há vedação legalà atuação, por parte de empresas contratadas pela Administração Pública Federal,sem margem de lucro ou com margem de lucro mínima, pois tal fato depende da estratégia comercial da empresa e não conduz, necessariamente, à inexecução da proposta.
___________________________________________________________________________________________________Outro Acórdão que parece trazer certa solução, estabelece que os percentuais mínimos devem ser estabelecidos em Edital.A desclassificação de proposta por inexequibilidade deve ser objetivamente demonstrada, a partir de critérios previamente publicados (Acórdãos 2.528/2012 e 1.092/2013, ambos do Plenário).
Vale destacar que a questão foi abordada no Acórdão nº 1.214/13-Plenário, em sede de representação formulada a partir de trabalho realizado por grupo de estudos, constituído com o objetivo de apresentar proposições de melhorias nos procedimentos relativos à terceirização de serviços continuados na Administração Pública Federal. Um dos problemas apontados naquela ocasião foi justamente a dificuldade enfrentada pela Administração no exame de exequibilidade das propostas, em razão da ausência de parâmetros seguros de análise.
De acordo coma conclusão do grupo, “(…)os editais deveriam consignar expressamente as condições mínimas para que as propostas sejam consideradas exequíveis, proibindo propostas com lucro e despesas administrativas iguais a zero, entre outros, em razão de esse percentual englobar os impostos e contribuições não repercutíveis (IR, CSLL). Registre-se que o grupo não determinou quais seriam as condições mínimas ideais, de modo que deverá ser realizado estudo para determiná-las e, assim, possibilitar a implementação dessa proposta.”________________________________________________________________________________________________________________</t>
        </r>
      </text>
    </comment>
    <comment ref="F110" authorId="0">
      <text>
        <r>
          <rPr>
            <sz val="10"/>
            <color rgb="FF000000"/>
            <rFont val="Arial"/>
            <family val="2"/>
            <charset val="1"/>
          </rPr>
          <t>(Acórdão 325/2007-TCU-Plenário).</t>
        </r>
        <r>
          <rPr>
            <b/>
            <sz val="10"/>
            <color rgb="FF000000"/>
            <rFont val="Arial"/>
            <family val="2"/>
            <charset val="1"/>
          </rPr>
          <t>Não há vedação legal</t>
        </r>
        <r>
          <rPr>
            <sz val="10"/>
            <color rgb="FF000000"/>
            <rFont val="Arial"/>
            <family val="2"/>
            <charset val="1"/>
          </rPr>
          <t>à atuação, por parte de empresas contratadas pela Administração Pública Federal,</t>
        </r>
        <r>
          <rPr>
            <b/>
            <sz val="10"/>
            <color rgb="FF000000"/>
            <rFont val="Arial"/>
            <family val="2"/>
            <charset val="1"/>
          </rPr>
          <t>sem margem de lucro ou com margem de lucro mínima</t>
        </r>
        <r>
          <rPr>
            <sz val="10"/>
            <color rgb="FF000000"/>
            <rFont val="Arial"/>
            <family val="2"/>
            <charset val="1"/>
          </rPr>
          <t>, pois tal fato depende da estratégia comercial da empresa e não conduz, necessariamente, à inexecução da proposta
2. A desclassificação de proposta por inexequibilidade deve ser objetivamente demonstrada, a partir de critérios previamente publicados (Acórdãos 2.528/2012 e 1.092/2013, ambos do Plenário)
------------------------------------------------------------------------------------------------------------------------------------------
Mas em outro acórdão o TCU deliberou o seguinte:
Vale destacar que a questão foi abordada no Acórdão nº 1.214/13-Plenário, em sede de representação formulada a partir de trabalho realizado por grupo de estudos, constituído com o objetivo de apresentar proposições de melhorias nos procedimentos relativos à terceirização de serviços continuados na Administração Pública Federal. Um dos problemas apontados naquela ocasião foi justamente a dificuldade enfrentada pela Administração no exame de exequibilidade das propostas, em razão da ausência de parâmetros seguros de análise.
De acordo coma conclusão do grupo, “(…)</t>
        </r>
        <r>
          <rPr>
            <b/>
            <sz val="10"/>
            <color rgb="FF000000"/>
            <rFont val="Arial"/>
            <family val="2"/>
            <charset val="1"/>
          </rPr>
          <t>os editais deveriam consignar expressamente as condições mínimas para que as propostas sejam consideradas exequíveis, proibindo propostas com lucro e despesas administrativas iguais a zero</t>
        </r>
        <r>
          <rPr>
            <sz val="10"/>
            <color rgb="FF000000"/>
            <rFont val="Arial"/>
            <family val="2"/>
            <charset val="1"/>
          </rPr>
          <t>, entre outros, em razão de esse percentual englobar os impostos e contribuições não repercutíveis (IR, CSLL). Registre-se que o grupo não determinou quais seriam as condições mínimas ideais, de modo que deverá ser realizado estudo para determiná-las e, assim, possibilitar a implementação dessa proposta.”
------------------------------------------------------------------------------------------------------------------------------------------</t>
        </r>
        <r>
          <rPr>
            <b/>
            <sz val="10"/>
            <color rgb="FFFF0000"/>
            <rFont val="Arial"/>
            <family val="2"/>
            <charset val="1"/>
          </rPr>
          <t>Conclusão:
Melhor solução, estabelecer nos Editais com base em estudos percentuais minímos de lucros e custos indiretos</t>
        </r>
      </text>
    </comment>
    <comment ref="G113" authorId="0">
      <text>
        <r>
          <rPr>
            <sz val="10"/>
            <color rgb="FF000000"/>
            <rFont val="Arial"/>
            <family val="2"/>
            <charset val="1"/>
          </rPr>
          <t>Empresas Lucro Presumido:
PIS: 0,65% / COFINS: 3,00%
Empresas Lucro Real:
PIS: 1,65% / COFINS: 7,60%
Para as empresas optantes pelo Simples Nacional, a tributação varia conforme o faturamento mensal.
Soma-se os módulo 1,2,3,4,5, bem como os Custos Indiretos e o Lucro. Em seguida divide-se pelo Fator de Divisão, conforme a tributação aplicada (presumido,real,SIMPLES). Dessa forma, encontra-se o faturamento o qual incidirá a alíquota do PIS (PRESUMIDO).</t>
        </r>
      </text>
    </comment>
    <comment ref="G114" authorId="0">
      <text>
        <r>
          <rPr>
            <sz val="10"/>
            <color rgb="FF000000"/>
            <rFont val="Arial"/>
            <family val="2"/>
            <charset val="1"/>
          </rPr>
          <t>Empresas Lucro Presumido:
PIS: 0,65% / COFINS: 3,00%
Empresas Lucro Real:
PIS: 1,65% / COFINS: 7,60%
Para as empresas optantes pelo Simples Nacional, a tributação varia conforme o faturamento mensal.
Soma-se os módulo 1,2,3,4,5, bem como os Custos Indiretos e o Lucro. Em seguida divide-se pelo Fator de Divisão, conforme a tributação aplicada (presumido,real,SIMPLES). Dessa forma, encontra-se o faturamento o qual incidirá a alíquota do COFINS (PRESUMIDO).</t>
        </r>
      </text>
    </comment>
    <comment ref="G116" authorId="0">
      <text>
        <r>
          <rPr>
            <sz val="10"/>
            <color rgb="FF000000"/>
            <rFont val="Arial"/>
            <family val="2"/>
            <charset val="1"/>
          </rPr>
          <t>SANTOS DUMONT 3% (PODE VARIAR CONFORME MUNICÍPIO)
ALÍQUOTAS  SIMPLES, CONFORME TABELA A SEGUIR:
Antigo Anexo III do Simples Nacional (alterada em 2018)
Receita Bruta em 12 meses (em R$)	Alíquota Total	IRPJ	CSLL	COFINS	PIS	CPP	ISS
De R$ 0,00 a R$ 180.000,00            	6,00%	0,00%	0,00%	0,00%	0,00%	4,00%	2,00%
De R$ 180.000,01 a R$ 360.000,00 	8,21%	0,00%	0,00%	1,42%	0,00%	4,00%	2,79%
De R$ 360.000,01 a R$ 540.000,00 	10,26%	0,48%	0,43%	1,43%	0,35%	4,07%	3,50%
De R$ 540.000,01 a R$ 720.000,00 	11,31%	0,53%	0,53%	1,56%	0,38%	4,47%	3,84%
De R$ 720.000,01 a R$ 900.000,00 	11,40%	0,53%	0,52%	1,58%	0,38%	4,52%	3,87%
De R$ 900.000,01 a R$ 1.080.000,00 	12,42%	0,57%	0,57%	1,73%	0,40%	4,92%	4,23%
De R$ 1.080.000,01 a R$ 1.260.000,00 	12,54%	0,59%	0,56%	1,74%	0,42%	4,97%	4,26%
De R$ 1.260.000,01 a R$ 1.440.000,00 	12,68%	0,59%	0,57%	1,76%	0,42%	5,03%	4,31%
De R$ 1.440.000,01 a R$ 1.620.000,00 	13,55%	0,63%	0,61%	1,88%	0,45%	5,37%	4,61%
De R$ 1.620.000,01 a R$ 1.800.000,00 	13,68%	0,63%	0,64%	1,89%	0,45%	5,42%	4,65%
De R$ 1.800.000,01 a R$ 1.980.000,00 	14,93%	0,69%	0,69%	2,07%	0,50%	5,98%	5,00%
De R$ 1.980.000,01 a R$ 2.160.000,00 	15,06%	0,69%	0,69%	2,09%	0,50%	6,09%	5,00%
De R$ 2.160.000,01 a R$ 2.340.000,00 	15,20%	0,71%	0,70%	2,10%	0,50%	6,19%	5,00%
De R$ 2.340.000,01 a R$ 2.520.000,00 	15,35%	0,71%	0,70%	2,13%	0,51%	6,30%	5,00%
De R$ 2.520.000,01 a R$ 2.700.000,00 	15,48%	0,72%	0,70%	2,15%	0,51%	6,40%	5,00%
De R$ 2.700.000,01 a R$ 2.880.000,00 	16,85%	0,78%	0,76%	2,34%	0,56%	7,41%	5,00%
De R$ 2.880.000,01 a R$ 3.060.000,00 	16,98%	0,78%	0,78%	2,36%	0,56%	7,50%	5,00%
De R$ 3.060.000,01 a R$ 3.240.000,00 	17,13%	0,80%	0,79%	2,37%	0,57%	7,60%	5,00%
De R$ 3.240.000,01 a R$ 3.420.000,00 	17,27%	0,80%	0,79%	2,40%	0,57%	7,71%	5,00%
De R$ 3.420.000,01 a R$ 3.600.000,00 	17,42%	0,81%	0,79%	2,42%	0,57%	7,83%	5,00%</t>
        </r>
        <r>
          <rPr>
            <b/>
            <sz val="10"/>
            <color rgb="FF000000"/>
            <rFont val="Arial"/>
            <family val="2"/>
            <charset val="1"/>
          </rPr>
          <t>É aconselhável buscar auxilio do setor contábil do órgão para aferição dos tributos.</t>
        </r>
      </text>
    </comment>
    <comment ref="B133" authorId="0">
      <text>
        <r>
          <rPr>
            <sz val="10"/>
            <color rgb="FF000000"/>
            <rFont val="Arial"/>
            <family val="2"/>
            <charset val="1"/>
          </rPr>
          <t>Serviços de Limpeza devem usar o Quadro 6 da Planilha modelo da IN  05/2017 ( esta planilha já está configurada na aba por M²).
Serviços de Vigilância devem usar o quadro 5 da  da Planilha modelo da IN  05/2017</t>
        </r>
      </text>
    </comment>
  </commentList>
</comments>
</file>

<file path=xl/comments7.xml><?xml version="1.0" encoding="utf-8"?>
<comments xmlns="http://schemas.openxmlformats.org/spreadsheetml/2006/main">
  <authors>
    <author>Autor</author>
  </authors>
  <commentList>
    <comment ref="A3" authorId="0">
      <text>
        <r>
          <rPr>
            <sz val="10"/>
            <color rgb="FF000000"/>
            <rFont val="Arial"/>
            <family val="2"/>
            <charset val="1"/>
          </rPr>
          <t>ESSAS INFORMAÇÕES DEVEM SER REPASSADAS VIA EMAIL PELO SETOR DE LICITAÇÃO</t>
        </r>
      </text>
    </comment>
    <comment ref="H27" authorId="0">
      <text>
        <r>
          <rPr>
            <sz val="10"/>
            <color rgb="FF000000"/>
            <rFont val="Arial"/>
            <family val="2"/>
            <charset val="1"/>
          </rPr>
          <t>COLOCAR O VALOR DA CCT MAS DEIXAR ABERTO PARA FORNECEDOR ALTERAR “ SÓ PODE SER MAIOR QUE A CCT”</t>
        </r>
      </text>
    </comment>
    <comment ref="B28" authorId="0">
      <text>
        <r>
          <rPr>
            <sz val="10"/>
            <color rgb="FF000000"/>
            <rFont val="Arial"/>
            <family val="2"/>
            <charset val="1"/>
          </rPr>
          <t>Previsto em legislação ou acordo coletivo para trabalhos que impliquem em condições de risco à saúde ou integridade física do trabalhador.
30% sobre o salário base.</t>
        </r>
      </text>
    </comment>
    <comment ref="D28" authorId="0">
      <text>
        <r>
          <rPr>
            <sz val="10"/>
            <color rgb="FF000000"/>
            <rFont val="Arial"/>
            <family val="2"/>
            <charset val="1"/>
          </rPr>
          <t>Selecionar:
*Com Periculosidade
* Sem Periculosidade</t>
        </r>
      </text>
    </comment>
    <comment ref="E28" authorId="0">
      <text>
        <r>
          <rPr>
            <sz val="10"/>
            <color rgb="FF000000"/>
            <rFont val="Arial"/>
            <family val="2"/>
            <charset val="1"/>
          </rPr>
          <t>Selecionar 0% quando não houver Periculosidade e 30% quando incidir</t>
        </r>
      </text>
    </comment>
    <comment ref="B29" authorId="0">
      <text>
        <r>
          <rPr>
            <sz val="10"/>
            <color rgb="FF000000"/>
            <rFont val="Arial"/>
            <family val="2"/>
            <charset val="1"/>
          </rPr>
          <t>O salário de referência para cálculo do seu custo é o salário mínimo estadual ou o nacional ou o salário normativo da categoria se expressamente estabelecido no acordo ou convenção coletiva.
São operações que, por sua natureza, condições ou métodos de trabalho, exponham os empregados a agentes nocivos à saúde, acima dos limites de tolerância fixados em razão da natureza e da intensidade do agente e do tempo de exposição aos seus efeitos. (Art. 189, CLT)
Grau máximo: 40%;
Grau médio: 20%;
Grau mínimo: 10%.</t>
        </r>
      </text>
    </comment>
    <comment ref="B30" authorId="0">
      <text>
        <r>
          <rPr>
            <sz val="10"/>
            <color rgb="FF000000"/>
            <rFont val="Arial"/>
            <family val="2"/>
            <charset val="1"/>
          </rPr>
          <t>Verificar as auterações trazidas pela Reforma Trabalhista – Á principio aguardar as Novas CCT´s
Conferido ao trabalhador por trabalho executado entre as 22 horas de um dia e as 5 horas do dia seguinte.
Remunerado com adicional de, pelo menos, 20% sobre a hora diurna.
Adicional noturno para 1 hora trabalhada = Valor da hora diurna X 20%
Valor da hora diurna = Salário base / Total de horas trabalhadas no mês
O total de horas trabalhadas no mês calcula-se considerando 5 semanas de trabalho, conforme determinação do MTE.
Exemplo:
Salário: R$2.200,00
Valor da hora diurna: 2.200,00 / 220 horas (jornada de 44 horas semanais) = R$10,00
Adicional noturno para 1 hora trabalhada = 10,00 X 20% = R$2,00</t>
        </r>
      </text>
    </comment>
    <comment ref="D30" authorId="0">
      <text>
        <r>
          <rPr>
            <sz val="10"/>
            <color rgb="FF000000"/>
            <rFont val="Arial"/>
            <family val="2"/>
            <charset val="1"/>
          </rPr>
          <t>Selecionar entre:
Mínimo
Médio 
Máximo
Sem Insalubridade</t>
        </r>
      </text>
    </comment>
    <comment ref="E30" authorId="0">
      <text>
        <r>
          <rPr>
            <sz val="10"/>
            <color rgb="FF000000"/>
            <rFont val="Arial"/>
            <family val="2"/>
            <charset val="1"/>
          </rPr>
          <t>Selecionar entre:
0%
10%
20%
40%
E o valor da Insalubridade será calculado sobre o valor da salário</t>
        </r>
      </text>
    </comment>
    <comment ref="F30" authorId="0">
      <text>
        <r>
          <rPr>
            <sz val="10"/>
            <color rgb="FF000000"/>
            <rFont val="Arial"/>
            <family val="2"/>
            <charset val="1"/>
          </rPr>
          <t>Digitar valo do Salário Mínimo ou o da Categoria se expressamente estabelecido em Convenção Coletiva</t>
        </r>
      </text>
    </comment>
    <comment ref="B31" authorId="0">
      <text>
        <r>
          <rPr>
            <sz val="10"/>
            <color rgb="FF000000"/>
            <rFont val="Arial"/>
            <family val="2"/>
            <charset val="1"/>
          </rPr>
          <t>Corresponde a 52 minutos e 30 segundos.
A hora noturna adicional corresponde à diferença da hora noturna menos a hora normal.
Hora noturna = Hora normal X (60/52,5)
Hora noturna = Hora normal X 1,14285714
Exemplo:
Salário: R$2.200,00
Valor da hora diurna: 2.200,00 / 220 horas (jornada de 44 horas semanais) = R$10,00
Hora noturna = 10,00 X 1,14285714 = R$11,42
Hora noturna adicional = Hora noturna – Hora normal
Hora noturna adicional = (11,42 X 20%) - (R$10,00 X 20%) = 2,286 – 2,00 = 0,286</t>
        </r>
      </text>
    </comment>
    <comment ref="B34" authorId="0">
      <text>
        <r>
          <rPr>
            <sz val="10"/>
            <color rgb="FF000000"/>
            <rFont val="Arial"/>
            <family val="2"/>
            <charset val="1"/>
          </rPr>
          <t>Relativo ao trabalho realizado além da jornada diária regular estabelecida, com acréscimo de no mínimo 50% do valor da hora normal para trabalho extra (entre segunda e sábado) e de 100% em domingos e feriados.
Não pode ser maior do que 2 horas diárias. (Art. 59, CLT)</t>
        </r>
      </text>
    </comment>
    <comment ref="B40" authorId="0">
      <text>
        <r>
          <rPr>
            <b/>
            <sz val="10"/>
            <color rgb="FF000000"/>
            <rFont val="Arial"/>
            <family val="2"/>
            <charset val="1"/>
          </rPr>
          <t>Cálculo de acordo com o Manual para preenchimento de Planilha do MPOG de 2011</t>
        </r>
        <r>
          <rPr>
            <sz val="10"/>
            <color rgb="FF000000"/>
            <rFont val="Arial"/>
            <family val="2"/>
            <charset val="1"/>
          </rPr>
          <t>Considerando que na duração do contrato de 60 meses o empregado tem 5 meses de férias e labora em 56 meses:
(5/56) x 100 = 8,93%;</t>
        </r>
        <r>
          <rPr>
            <b/>
            <sz val="10"/>
            <color rgb="FF000000"/>
            <rFont val="Arial"/>
            <family val="2"/>
            <charset val="1"/>
          </rPr>
          <t>Cálculo de acordo com o Caderno de Logistica/ Serviços de limpeza  MPOG de 2014</t>
        </r>
        <r>
          <rPr>
            <sz val="10"/>
            <color rgb="FF000000"/>
            <rFont val="Arial"/>
            <family val="2"/>
            <charset val="1"/>
          </rPr>
          <t>Para os contratos de 1 ano (12 meses) o empregado trabalha 12 meses e tem direito a 1 mês de férias, o que significa:
(1/12) x 100 = 8,33%.
Por derradeiro a IN 05/2017, trouxe o seguinte texto
Nota 1: Como a planilha de custos e formação de preços é calculada mensalmente, provisiona-se
proporcionalmente 1/12 (um doze avos) dos valores referentes a gratificação natalina e adicional
de férias.</t>
        </r>
        <r>
          <rPr>
            <b/>
            <sz val="10"/>
            <color rgb="FF000000"/>
            <rFont val="Arial"/>
            <family val="2"/>
            <charset val="1"/>
          </rPr>
          <t>( No meu entendimento definiu que o percentual do 13° é de 8,33% ), 
MAS É NECESSÁRIO ESPERAR SAIR O MANUAL DE PREENCHIMENTO DA PLANILHA, TÃO PROMETIDO PARA  SE BATER O MARTELO, POIS COSTUMA UMA PUBLICAÇÃO NÃO BATER COM A OUTRA, SÓ PARA VARIAR.</t>
        </r>
      </text>
    </comment>
    <comment ref="G40" authorId="0">
      <text>
        <r>
          <rPr>
            <b/>
            <sz val="9"/>
            <color rgb="FF000000"/>
            <rFont val="Tahoma"/>
            <family val="2"/>
            <charset val="1"/>
          </rPr>
          <t>Usuário do Windows:</t>
        </r>
        <r>
          <rPr>
            <sz val="9"/>
            <color rgb="FF000000"/>
            <rFont val="Tahoma"/>
            <family val="2"/>
            <charset val="1"/>
          </rPr>
          <t>8,33% ou 8,93% Ler comentário na descrição do item 13º SALÁRIO ao lado</t>
        </r>
      </text>
    </comment>
    <comment ref="B41" authorId="0">
      <text>
        <r>
          <rPr>
            <sz val="10"/>
            <color rgb="FF000000"/>
            <rFont val="Arial"/>
            <family val="2"/>
            <charset val="1"/>
          </rPr>
          <t>.( Art. 129,Art. 130, inciso I da CLT e Art. 7° , inciso XCII da CF/88 [=(1/12)+(1/3)/12]</t>
        </r>
        <r>
          <rPr>
            <b/>
            <sz val="10"/>
            <color rgb="FF000000"/>
            <rFont val="Arial"/>
            <family val="2"/>
            <charset val="1"/>
          </rPr>
          <t>Quando é retido a conta vinculada o calculo deve ser [</t>
        </r>
        <r>
          <rPr>
            <sz val="10"/>
            <color rgb="FF000000"/>
            <rFont val="Arial"/>
            <family val="2"/>
            <charset val="1"/>
          </rPr>
          <t>=(1/11)+(1/3/11) que dá os 12,10% retidos na conta vinculada (calculo CNJ).
A IN 05/2017, trouxe o seguinte texto com relação ao módulo 2.1
Nota 1: Como a planilha de custos e formação de preços é calculada mensalmente, provisiona-se
proporcionalmente 1/12 (um doze avos) dos valores referentes a gratificação natalina e adicional
de férias.</t>
        </r>
        <r>
          <rPr>
            <b/>
            <sz val="10"/>
            <color rgb="FF000000"/>
            <rFont val="Arial"/>
            <family val="2"/>
            <charset val="1"/>
          </rPr>
          <t>( No meu entendimento definiu que o percentual do 13° é de 8,33% ),</t>
        </r>
        <r>
          <rPr>
            <b/>
            <u/>
            <sz val="10"/>
            <color rgb="FF000000"/>
            <rFont val="Arial"/>
            <family val="2"/>
            <charset val="1"/>
          </rPr>
          <t>MAS É NECESSÁRIO ESPERAR SAIR O MANUAL DE PREENCHIMENTO DA PLANILHA, TÃO PROMETIDO PARA BATER O MARTELO, POIS COSTUMA UMA PUBLICAÇÃO NÃO BATER COM A OUTRA, SÓ PARA VARIAR.</t>
        </r>
        <r>
          <rPr>
            <sz val="10"/>
            <color rgb="FF000000"/>
            <rFont val="Arial"/>
            <family val="2"/>
            <charset val="1"/>
          </rPr>
          <t>Nota 2: O adicional de férias contido no Submódulo 2.1 corresponde a 1/3 (um terço) da
remuneração que por sua vez é divido por 12 (doze) conforme Nota 1 acima.</t>
        </r>
        <r>
          <rPr>
            <b/>
            <sz val="10"/>
            <color rgb="FF000000"/>
            <rFont val="Arial"/>
            <family val="2"/>
            <charset val="1"/>
          </rPr>
          <t>( Desta forma também defini que o percentual das férias seria 1/12 * 1/3 que corresponde a 11,11% , mas na cartilha da conta vinculada lançada em fevereiro de 2018, continua 12,10% para ser retido e pago na conta vinculada referente a provisão de férias e 1/3)</t>
        </r>
        <r>
          <rPr>
            <b/>
            <u/>
            <sz val="10"/>
            <color rgb="FF000000"/>
            <rFont val="Arial"/>
            <family val="2"/>
            <charset val="1"/>
          </rPr>
          <t>PORTANTO SE FAZ NECESSÁRIO CONTINUAR USANDO O CALCULO DO CNJ DE 12,10% EM CONTRATOS QUE UTILIZEM CONTA VINCULADA, POIS COMO PODERIAMOS RETER UM VALOR QUE NÃO ESTÁ PROVISIONADO NA PLANILHA)</t>
        </r>
      </text>
    </comment>
    <comment ref="G41" authorId="0">
      <text>
        <r>
          <rPr>
            <b/>
            <sz val="9"/>
            <color rgb="FF000000"/>
            <rFont val="Tahoma"/>
            <family val="2"/>
            <charset val="1"/>
          </rPr>
          <t>Usuário do Windows:</t>
        </r>
        <r>
          <rPr>
            <sz val="9"/>
            <color rgb="FF000000"/>
            <rFont val="Tahoma"/>
            <family val="2"/>
            <charset val="1"/>
          </rPr>
          <t>11,11% ou 12,10% Ler comentário na descrição do item FÉRIAS ao lado</t>
        </r>
      </text>
    </comment>
    <comment ref="B45" authorId="0">
      <text>
        <r>
          <rPr>
            <sz val="10"/>
            <color rgb="FF000000"/>
            <rFont val="Arial"/>
            <family val="2"/>
            <charset val="1"/>
          </rPr>
          <t>Contribuição de 20% sobre o total das remunerações destinada à Seguridade Social, conforme determina a Lei 8.212/91.</t>
        </r>
      </text>
    </comment>
    <comment ref="B46" authorId="0">
      <text>
        <r>
          <rPr>
            <sz val="10"/>
            <color rgb="FF000000"/>
            <rFont val="Arial"/>
            <family val="2"/>
            <charset val="1"/>
          </rPr>
          <t>Contribuições sociais destinadas ao Serviço Social da Indústria (SESI) e ao Serviço Social do Comércio (SESC). As empresas optantes pelo Simples Nacional são isentas. Para as demais empresas fica determinado o percentual de 1,5%.</t>
        </r>
      </text>
    </comment>
    <comment ref="D46" authorId="0">
      <text>
        <r>
          <rPr>
            <sz val="10"/>
            <color rgb="FF000000"/>
            <rFont val="Arial"/>
            <family val="2"/>
            <charset val="1"/>
          </rPr>
          <t>Usuário do Windows:
EMPRESAS OPTATANTES PELO SIMPLES ESTÃO ISENTAS DO PAGAMENTO DAS SEGUINTES CONTRIBUIÇÕES:  SESI ou SESC, SENAI ou SENAC, INCRA, Salário-Educação, SEBRAE, Portanto devem ser zeradas na Planilha.
Empresas de sessão de mão de obra não podem ser optantes pelo Simples com excessão das empresas que prestam serviços de serviços de vigilância, limpeza ou conservação desde que não exerçam em conjunto com outras atividades vedadas,c) Regime de Tributação – SIMPLES –Regime Especial Unificado de Arrecadação de Tributos e Contribuições – Microempresas (MEs) e Empresas de Pequeno Porte (EPPs) O SIMPLES consiste em um regime especial unificado de arrecadação de Tributos e Contribuições devidos pelas Microempresas e Empresas de Pequeno Porte, instituído pela Lei Complementar nº 123, de 14 de dezembro de 2006. Lembramos ainda que as microempresas e empresas de pequeno porte optantes pelo Simples Nacional ficam dispensadas do pagamento das demais contribuições instituídas pela União, tais como SESI ou SESC, SENAI ou SENAC, INCRA, Salário-Educação, SEBRAE, conforme expressa previsão legal contida no art. 13, § 3º da Lei Complementar nº 123/2006: § 3º  As microempresas e empresas de pequeno porte optantes pelo Simples Nacional ficam dispensadas do pagamento das demais contribuições instituídas pela União, inclusive as contribuições para as entidades privadas de serviço social e de formação profissional vinculadas ao sistema sindical, de que trata o art. 240 da Constituição Federal, e demais entidades de serviço social autônomo. Nem todas as microempresas ou empresas de pequeno porte poderão recolher os impostos e contribuições na forma do Simples, como por exemplo, as empresas que exercem atividade de cessão ou locação de mão de obra8. As vedações ao ingresso no Simples Nacional estão previstas no art. 17 da Lei Complementar nº 123/2006. 
8 Entende-se por cessão de mão de obra a colocação à disposição da empresa contratante, em suas dependências ou nas de terceiros, de trabalhadores que realizem serviços contínuos, relacionados ou não com sua atividade fim, quaisquer que sejam a natureza e a forma de contratação, inclusive por meio de trabalho temporário na forma da Lei nº 6.019, de 3 de janeiro de 1974. (art.115 Instrução Normativa RFB nº 971, de 13 de novembro de 2009)
117
CAPÍTULO VI – COMPOSIÇÃO DA PLANILHA DE CUSTO E FORMAÇÃO DE PREÇO 
Art. 17. Não poderão recolher os impostos e contribuições na forma do Simples Nacional a microempresa ou a empresa de pequeno porte: (...) XII – que realize cessão ou locação de mão de obra; É importante ressaltar que as vedações previstas no caput do art. 17 da LC nº 123/2006 não se aplicam às pessoas jurídicas que se dediquem exclusivamente às atividades referidas nos §§ 5o-B a 5o-E do art. 18 da Lei Complementar multicitada, ou as exerçam em conjunto com outras atividades que não tenham sido objeto de vedação no mesmo caput. Não se incluem nas vedações, por exemplo, as empresas que prestam serviços de vigilância, limpeza ou conservação desde que não exerçam em conjunto com outras atividades vedadas.
LC 123/2006 – §§ 5o-B a 5o-E do art. 18 da Lei Complementar nº 123/2006 § 5º-H.  A vedação de que trata o inciso XII do caput do art. 17 desta Lei Complementar não se aplica às atividades referidas no § 5º-C deste artigo. (Incluído pela Lei Complementar nº 128, de 2008) § 5º-C.  Sem prejuízo do disposto no § 1º do art. 17 desta Lei Complementar, as atividades de prestação de serviços seguintes serão tributadas na forma do Anexo IV desta Lei Complementar, hipótese em que não estará incluída no Simples Nacional a contribuição prevista no inciso VI do caput do art. 13 desta Lei Complementar, devendo ela ser recolhida segundo a legislação prevista para os demais contribuintes ou responsáveis: (Incluído pela Lei Complementar nº 128, de 2008) (...) VI – serviço de vigilância, limpeza ou conservação. (Incluído pela Lei Complementar nº 128, de 2008)</t>
        </r>
      </text>
    </comment>
    <comment ref="G46" authorId="0">
      <text>
        <r>
          <rPr>
            <sz val="9"/>
            <color rgb="FF000000"/>
            <rFont val="Tahoma"/>
            <family val="2"/>
            <charset val="1"/>
          </rPr>
          <t>Zerar se for optante pelo simples</t>
        </r>
      </text>
    </comment>
    <comment ref="B47" authorId="0">
      <text>
        <r>
          <rPr>
            <sz val="10"/>
            <color rgb="FF000000"/>
            <rFont val="Arial"/>
            <family val="2"/>
            <charset val="1"/>
          </rPr>
          <t>Contribuição ao Serviço Nacional de Aprendizagem Industrial (SENAI) e ao Serviço Nacional de Aprendizagem Comercial (SENAC). As empresas optantes pelo Simples Nacional são isentas. Para as demais empresas com menos de 500 empregados a incidência é de 1% e para as empresas com mais de 500 empregados a incidência é de 1,2%.</t>
        </r>
      </text>
    </comment>
    <comment ref="G47" authorId="0">
      <text>
        <r>
          <rPr>
            <b/>
            <sz val="9"/>
            <color rgb="FF000000"/>
            <rFont val="Tahoma"/>
            <family val="2"/>
            <charset val="1"/>
          </rPr>
          <t>Usuário do Windo</t>
        </r>
        <r>
          <rPr>
            <sz val="9"/>
            <color rgb="FF000000"/>
            <rFont val="Tahoma"/>
            <family val="2"/>
            <charset val="1"/>
          </rPr>
          <t>Zerar se for optante pelo simples</t>
        </r>
      </text>
    </comment>
    <comment ref="B48" authorId="0">
      <text>
        <r>
          <rPr>
            <sz val="10"/>
            <color rgb="FF000000"/>
            <rFont val="Arial"/>
            <family val="2"/>
            <charset val="1"/>
          </rPr>
          <t>Contribuição ao Instituto Nacional de Colonização e Reforma Agrária. As empresas optantes pelo Simples Nacional são isentas e as demais empresas pagam um percentual de 0,2%.</t>
        </r>
      </text>
    </comment>
    <comment ref="G48" authorId="0">
      <text>
        <r>
          <rPr>
            <b/>
            <sz val="9"/>
            <color rgb="FF000000"/>
            <rFont val="Tahoma"/>
            <family val="2"/>
            <charset val="1"/>
          </rPr>
          <t>Usuário do Windows:</t>
        </r>
        <r>
          <rPr>
            <sz val="9"/>
            <color rgb="FF000000"/>
            <rFont val="Tahoma"/>
            <family val="2"/>
            <charset val="1"/>
          </rPr>
          <t>Zerar se for optante pelo simples</t>
        </r>
      </text>
    </comment>
    <comment ref="B49" authorId="0">
      <text>
        <r>
          <rPr>
            <sz val="10"/>
            <color rgb="FF000000"/>
            <rFont val="Arial"/>
            <family val="2"/>
            <charset val="1"/>
          </rPr>
          <t>Contribuição social destinada ao financiamento da educação básica nos termos da Constituição Federal à base de 2,5%. As empresas optantes pelo Simples Nacional são isentas.</t>
        </r>
      </text>
    </comment>
    <comment ref="G49" authorId="0">
      <text>
        <r>
          <rPr>
            <b/>
            <sz val="9"/>
            <color rgb="FF000000"/>
            <rFont val="Tahoma"/>
            <family val="2"/>
            <charset val="1"/>
          </rPr>
          <t>Usuário do Windows:</t>
        </r>
        <r>
          <rPr>
            <sz val="9"/>
            <color rgb="FF000000"/>
            <rFont val="Tahoma"/>
            <family val="2"/>
            <charset val="1"/>
          </rPr>
          <t>Zerar se for optante pelo simples</t>
        </r>
      </text>
    </comment>
    <comment ref="B50" authorId="0">
      <text>
        <r>
          <rPr>
            <sz val="10"/>
            <color rgb="FF000000"/>
            <rFont val="Arial"/>
            <family val="2"/>
            <charset val="1"/>
          </rPr>
          <t>O Fundo de Garantia do Tempo de Serviço (FGTS) constitui-se em um pecúlio disponibilizado quando da aposentadoria ou morte do trabalhador e representa uma garantia para a indenização do tempo de serviço nos casos de demissão imotivada. É garantido pela Constituição Federal à base de 8%.</t>
        </r>
      </text>
    </comment>
    <comment ref="B51" authorId="0">
      <text>
        <r>
          <rPr>
            <sz val="10"/>
            <color rgb="FF000000"/>
            <rFont val="Arial"/>
            <family val="2"/>
            <charset val="1"/>
          </rPr>
          <t>Contribuição destinada a custear benefícios concedidos em razão do grau de incidência de incapacidade laborativa decorrentes dos riscos ambientais do trabalho. Pode ser estabelecido em:
SEG.ACID.TRAB. FAP X RAT ( Art. 22,II, da Lei n° 8.212/91).Alíquotas do SAT em função do FAP(Decreto n° 6.042/07 e n° 6.957/09).Fap(Anexo da RESOLUÇÃO mps/cnps n° 1.316/10)=alíquota do FAPx perc. Do SAT
Esses Perecentuais devem ser conferidos pelo pregoeiro e equipe de apoio, com base na GFIP
1% quando o risco de acidentes do trabalho for considerado leve.
2% quando o risco de acidentes do trabalho for considerado médio.
3% quando o risco de acidentes do trabalho for considerado grave.</t>
        </r>
      </text>
    </comment>
    <comment ref="G51" authorId="0">
      <text>
        <r>
          <rPr>
            <b/>
            <sz val="9"/>
            <color rgb="FF000000"/>
            <rFont val="Tahoma"/>
            <family val="2"/>
            <charset val="1"/>
          </rPr>
          <t>Usuário do Windows:</t>
        </r>
        <r>
          <rPr>
            <sz val="9"/>
            <color rgb="FF000000"/>
            <rFont val="Tahoma"/>
            <family val="2"/>
            <charset val="1"/>
          </rPr>
          <t>JURISPRUDÊNCIA - TCU (Acórdão  2.554/2010 - Primeira Câmara) 
7. Com relação aos itens de custo não cotados ou cotados a menor pela empresa vencedora do certame (como o “Seguro de Acidente de Trabalho”, a “Assistência Social Familiar Sindical”, a “Assistência Social” e os benefícios indiretos concedidos pelas empresas aos empregados),</t>
        </r>
        <r>
          <rPr>
            <b/>
            <sz val="9"/>
            <color rgb="FF000000"/>
            <rFont val="Tahoma"/>
            <family val="2"/>
            <charset val="1"/>
          </rPr>
          <t>não chegam a invalidar a proposta da licitante, mas devem ser objeto de acompanhamento pelo CBPF,</t>
        </r>
        <r>
          <rPr>
            <sz val="9"/>
            <color rgb="FF000000"/>
            <rFont val="Tahoma"/>
            <family val="2"/>
            <charset val="1"/>
          </rPr>
          <t>com a verificação do cumprimento, pela contratada, de suas obrigações trabalhistas em conformidade com a legislação, de forma a resguardar a Administração de eventual responsabilização solidária</t>
        </r>
        <r>
          <rPr>
            <b/>
            <sz val="9"/>
            <color rgb="FF000000"/>
            <rFont val="Tahoma"/>
            <family val="2"/>
            <charset val="1"/>
          </rPr>
          <t>, não podendo essas obrigações importar em eventual acréscimo contratual, considerando que a empresa tem o dever de honrar sua proposta na licitação,</t>
        </r>
        <r>
          <rPr>
            <sz val="9"/>
            <color rgb="FF000000"/>
            <rFont val="Tahoma"/>
            <family val="2"/>
            <charset val="1"/>
          </rPr>
          <t>prestando os serviços contratados pelo preço acordado entre as partes</t>
        </r>
      </text>
    </comment>
    <comment ref="B52" authorId="0">
      <text>
        <r>
          <rPr>
            <sz val="10"/>
            <color rgb="FF000000"/>
            <rFont val="Arial"/>
            <family val="2"/>
            <charset val="1"/>
          </rPr>
          <t>Contribuição social repassada ao Serviço Brasileiro de Apoio à Pequena e Média Empresa (SEBRAE), destinado a custear os programas de apoio à pequena e média empresa à base de 0,6%. As empresas optantes pelo Simples Nacional são isentas.</t>
        </r>
      </text>
    </comment>
    <comment ref="G52" authorId="0">
      <text>
        <r>
          <rPr>
            <b/>
            <sz val="9"/>
            <color rgb="FF000000"/>
            <rFont val="Tahoma"/>
            <family val="2"/>
            <charset val="1"/>
          </rPr>
          <t>Usuário do Windows:</t>
        </r>
        <r>
          <rPr>
            <sz val="9"/>
            <color rgb="FF000000"/>
            <rFont val="Tahoma"/>
            <family val="2"/>
            <charset val="1"/>
          </rPr>
          <t>Zerar se for optante pelo simples</t>
        </r>
      </text>
    </comment>
    <comment ref="G59" authorId="0">
      <text>
        <r>
          <rPr>
            <sz val="10"/>
            <color rgb="FF000000"/>
            <rFont val="Arial"/>
            <family val="2"/>
            <charset val="1"/>
          </rPr>
          <t>Pode variar conforme CCT. Sempre verificar.</t>
        </r>
      </text>
    </comment>
    <comment ref="B73" authorId="0">
      <text>
        <r>
          <rPr>
            <b/>
            <sz val="9"/>
            <color rgb="FF000000"/>
            <rFont val="Tahoma"/>
            <family val="2"/>
            <charset val="1"/>
          </rPr>
          <t>Usuário do Windows:</t>
        </r>
        <r>
          <rPr>
            <sz val="9"/>
            <color rgb="FF000000"/>
            <rFont val="Tahoma"/>
            <family val="2"/>
            <charset val="1"/>
          </rPr>
          <t>FUNDAMENTAÇÃO LEGAL - Constituição Federal de 1988 (Art. 7°, inciso XXI) - CLT (Art. 477, art. 487 a 491) - Observação (1) - Aviso Prévio Indenizado – Estudos CNJ – Resolução 98/2009  Aviso Prévio indenizado - 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término do contrato de trabalho. Cálculo ((1/12)x 0,05) x 100 =0,42%.</t>
        </r>
      </text>
    </comment>
    <comment ref="B74" authorId="0">
      <text>
        <r>
          <rPr>
            <b/>
            <sz val="9"/>
            <color rgb="FF000000"/>
            <rFont val="Tahoma"/>
            <family val="2"/>
            <charset val="1"/>
          </rPr>
          <t>Usuário do Windows:</t>
        </r>
        <r>
          <rPr>
            <sz val="9"/>
            <color rgb="FF000000"/>
            <rFont val="Tahoma"/>
            <family val="2"/>
            <charset val="1"/>
          </rPr>
          <t>aplicar o percentual do FGTS sobre o Aviso Prévio Indenizado.</t>
        </r>
        <r>
          <rPr>
            <b/>
            <sz val="9"/>
            <color rgb="FF000000"/>
            <rFont val="Tahoma"/>
            <family val="2"/>
            <charset val="1"/>
          </rPr>
          <t>Ex 8% X 0,42% = 0,03%</t>
        </r>
      </text>
    </comment>
    <comment ref="B75" authorId="0">
      <text>
        <r>
          <rPr>
            <b/>
            <sz val="9"/>
            <color rgb="FF000000"/>
            <rFont val="Tahoma"/>
            <family val="2"/>
            <charset val="1"/>
          </rPr>
          <t>Usuário do Windows:</t>
        </r>
        <r>
          <rPr>
            <sz val="9"/>
            <color rgb="FF000000"/>
            <rFont val="Tahoma"/>
            <family val="2"/>
            <charset val="1"/>
          </rPr>
          <t>FUNDAMENTAÇÃO LEGAL - Jurisprudência - TCU (Acórdão 2.217/2010 – Plenário - vide apêndice pág. 52)
49 Multa do FGTS do aviso prévio indenizado: valor da multa do FGTS indenizado (40%) + contribuição social sobre o FGTS (10%), que incide sobre a alíquota do FGTS (8%) aplicado sobre o custo de referência do aviso prévio indenizado.
 FUNDAMENTAÇÃO LEGAL - Lei nº 8.036, de 11 de maio de 1990 (Art. 18 § 1º) com redação dada pela Lei nº 9.491, de 9 de setembro de 1997. - Lei Complementar nº 110, de 29 de junho de 2001. (Art. 1°) - Observação (2) - Aviso Prévio Indenizado – Estudos CNJ – Resolução 98/2009 Multa FGTS - Rescisão sem Justa Causa: A Lei Complementar nº 110, de 29 de junho de 2001, determina multa de 50%, da soma dos depósitos do FGTS, no caso de rescisão sem justa causa. Considerando que 10% dos empregados pedem contas, essa penalidade recai sobre os 90% remanescentes. Considerando o pagamento da multa para os valores depositados relativos a salários, férias e 13º salário o cálculo dessa provisão corresponde a: 0,08 x 0,5 x 0,9 x (1 + 5/56 + 5/56 + 1/3 * 5/56) = 4,35%.</t>
        </r>
      </text>
    </comment>
    <comment ref="G75" authorId="0">
      <text>
        <r>
          <rPr>
            <b/>
            <sz val="10"/>
            <color rgb="FF000000"/>
            <rFont val="Arial"/>
            <family val="2"/>
            <charset val="1"/>
          </rPr>
          <t>1°- Não havendo conta vinculada o valor de referência estabelecido no Manual de preenchimento de planilhas do MPOG é de 4,35% APT+API.
FUNDAMENTAÇÃO LEGAL -</t>
        </r>
        <r>
          <rPr>
            <sz val="10"/>
            <color rgb="FF000000"/>
            <rFont val="Arial"/>
            <family val="2"/>
            <charset val="1"/>
          </rPr>
          <t>Lei nº 8.036, de 11 de maio de 1990 (Art. 18 § 1º) com redação dada pela Lei nº 9.491, de 9 de setembro de 1997. - Lei Complementar nº 110, de 29 de junho de 2001. (Art. 1°) -Aviso Prévio Indenizado – Estudos CNJ – Resolução 98/2009 Multa FGTS - Rescisão sem Justa Causa: A Lei Complementar nº 110, de 29 de junho de 2001, determina multa de 50%, da soma dos depósitos do FGTS, no caso de rescisão sem justa causa. Considerando que 10% dos empregados pedem contas, essa penalidade recai sobre os 90% remanescentes.Considerando o pagamento da multa para os valores depositados relativos a salários, férias e 13º salário o cálculo dessa provisão corresponde a: 0,08 x 0,5 x 0,9 x (1 + 5/56 + 5/56 + 1/3 * 5/56) = 4,35%.Onde 0,08 Corresponde ao % dop FGTS;  0,5 é os 50% da multa FGTS ; 0,9 corresponde é o percentual de funcionários que são demitidos sem justa causa;( 1 representa uma remuneração; 5/56 representa 5 meses de férias que um funcionário dentro de um periodo de 56 meses este raciocionio vale para férias e 13° e por fim 1/3 de 5/56 que é um terço constitucional de féria).
---------------------------------------------------------------------------------------------------------------------
2° Quando for exigido conta vinculada :Conforme orientações do MPOG, Quando houver conta vinculada, tanto para o Aviso Prévio Trabalhado quanto para o Aviso Prévio Indenizado, a porcentagem que irá incidir é de 5% soma dos dois avisos (API+APT) sobre o custo de referência.
E também foi orientado que está correto o raciocínio de ponderar os 5% entre o API e o APT, não precisando ser exatamente 50% pra cada. Isso dependerá das características intrínsecas de cada empresa e tipo de serviço, podendo ser definido pelo fornecedor desde que os 2 itens fechem em 5% no caso de ter conta vinculada.</t>
        </r>
      </text>
    </comment>
    <comment ref="B76" authorId="0">
      <text>
        <r>
          <rPr>
            <b/>
            <sz val="9"/>
            <color rgb="FF000000"/>
            <rFont val="Tahoma"/>
            <family val="2"/>
            <charset val="1"/>
          </rPr>
          <t>Usuário do Windows:</t>
        </r>
        <r>
          <rPr>
            <sz val="9"/>
            <color rgb="FF000000"/>
            <rFont val="Tahoma"/>
            <family val="2"/>
            <charset val="1"/>
          </rPr>
          <t>[(1 salário integral / 30 dias) x 7 dias] / 12 meses = 1,94% é o índice.Acórdão 1186/2017 Plenário (Auditoria, Relator Ministro-Substituto Augusto Sherman)
Licitação. Orçamento estimativo. Encargos sociais. Aviso prévio. Terceirização. Limite máximo. Prorrogação de contrato.
Nas licitações para contratação de mão de obra terceirizada, a Administração deve estabelecer na minuta do contrato que a parcela mensal a título de aviso prévio trabalhado será no percentualmáximo de 1,94% no primeiro ano, e, em caso de prorrogação do contrato, o percentual máximo dessa parcela será de0,194% a cada ano de prorrogação, a ser incluído por ocasião da formulação do aditivo da prorrogação do contrato, conforme a Lei 12.506/2011.</t>
        </r>
      </text>
    </comment>
    <comment ref="G82" authorId="0">
      <text>
        <r>
          <rPr>
            <sz val="10"/>
            <color rgb="FF000000"/>
            <rFont val="Arial"/>
            <family val="2"/>
            <charset val="1"/>
          </rPr>
          <t>Opnião Edilson:
A IN 05/2017, trouxe uma novidade com relação as férias, antes tinhamos calculado separado neste campo o %  das férias e em outro campo o % do (1/3) terço constitucional que no cálculo do CNJ seria 12,10%.
Mas  agora  a IN 05/2017, trouxe no submódulo 2.1 as férias e o 1/3 juntos, e repetiu o item  férias mais uma vez no Módulo 4 - como Custo de Reposição do Profissional Ausente.
Tenho visto alguns colocarem novamente o percentual de 12,10% ou 11,11%, o que no meu ponto está redondamente errado.
 O Texto da IN 05/2017 trouxe o seguinte texto:
Nota: As alíneas “A” a “F” referem-se somente ao custo que será pago ao repositor pelos dias
trabalhados</t>
        </r>
        <r>
          <rPr>
            <b/>
            <u/>
            <sz val="10"/>
            <color rgb="FF000000"/>
            <rFont val="Arial"/>
            <family val="2"/>
            <charset val="1"/>
          </rPr>
          <t>quando da necessidade de substituir</t>
        </r>
        <r>
          <rPr>
            <sz val="10"/>
            <color rgb="FF000000"/>
            <rFont val="Arial"/>
            <family val="2"/>
            <charset val="1"/>
          </rPr>
          <t>a mão de obra alocada na prestação do serviço.
Com base neste texto, até que saia o manual de preenchimento da planilha existem 2 opções:
1° Deixar em Branco: já que é novo e o valor é irrisório.
2° Calcular o percentual das férias+1 /3  + 13° salário e dividir por 12 e os seus reflexos que já seram automaticamente cáculados na letra F ( incidencia submodulo 2.1).</t>
        </r>
      </text>
    </comment>
    <comment ref="F83" authorId="0">
      <text>
        <r>
          <rPr>
            <b/>
            <sz val="9"/>
            <color rgb="FF000000"/>
            <rFont val="Tahoma"/>
            <family val="2"/>
            <charset val="1"/>
          </rPr>
          <t>Usuário do Windows:
CUSTO NÃO RENOVÁVEL :</t>
        </r>
        <r>
          <rPr>
            <sz val="9"/>
            <color rgb="FF000000"/>
            <rFont val="Tahoma"/>
            <family val="2"/>
            <charset val="1"/>
          </rPr>
          <t>VALE LEMBRAR QUE POR OCASIÃO DAS PRORROGAÇÕES DEVE SE VERIFICAR SE ESSE VALOR PROVISIONADO FOI UTILIZADO, SE NÃO FOR OU FOR UTILIZADO EM PARTES, DEVE SER RETIRADO OU COLOCADO PROPORCIONALMENTE O % UTILIZADO.</t>
        </r>
        <r>
          <rPr>
            <b/>
            <sz val="9"/>
            <color rgb="FF000000"/>
            <rFont val="Tahoma"/>
            <family val="2"/>
            <charset val="1"/>
          </rPr>
          <t>(O RACIOCÍNIO VALE PARA TODOS OS ITENS DESTA TABELA DO SUBMÓDULO 4.1)</t>
        </r>
      </text>
    </comment>
    <comment ref="G83" authorId="0">
      <text>
        <r>
          <rPr>
            <sz val="10"/>
            <color rgb="FF000000"/>
            <rFont val="Arial"/>
            <family val="2"/>
            <charset val="1"/>
          </rPr>
          <t>Ausências previstas na legislação vigente que é composta por um conjunto de casos em que o funcionário pode se ausentar sem perda da remuneração.
Considerando que o empregado tenha apenas uma falta legal durante o período de 1 ano, temos:
Cálculo:
1/360 = 0,002777 = 0,27%
Esse valor pode variar conforme dados estatísticos da empresa.</t>
        </r>
      </text>
    </comment>
    <comment ref="G84" authorId="0">
      <text>
        <r>
          <rPr>
            <sz val="10"/>
            <color rgb="FF000000"/>
            <rFont val="Arial"/>
            <family val="2"/>
            <charset val="1"/>
          </rPr>
          <t>Concede ao empregado o direito de ausentar-se do serviço por cinco dias quando do nascimento de filho. De acordo com o IBGE, nascem filhos de 1,5% dos trabalhadores no período de um ano. Dessa forma a provisão para este item corresponde a:
((5/30)/12) x 0,015 x 100 = 0,02%
Esse valor pode variar conforme dados estatísticos da empresa.</t>
        </r>
      </text>
    </comment>
    <comment ref="F85" authorId="0">
      <text>
        <r>
          <rPr>
            <b/>
            <sz val="9"/>
            <color indexed="81"/>
            <rFont val="Tahoma"/>
            <family val="2"/>
          </rPr>
          <t>UFERSA:</t>
        </r>
        <r>
          <rPr>
            <sz val="9"/>
            <color indexed="81"/>
            <rFont val="Tahoma"/>
            <family val="2"/>
          </rPr>
          <t xml:space="preserve">
O auxílio-acidente é o afastamento por mais de 15 dias do trabalho em
virtude de acidentes no exercício da atividade profissional, ou doenças adquiridas ou desencadeadas pelo exercício do trabalho ou das condições em que este é realizado e com ele se relacione diretamente. O custo estimado nessa rubrica corresponde apenas aos primeiros 15 dias, o qual é obrigação da empresa a cobertura do mesmo, sendo após 15 dias, o benefício será coberto pela Previdência Social. O percentual de 0,06% é igual ao número de dias cobertos pela empresa em um mês dentro de um ano multiplicado por 1,33%  conforme  Anuário Estatístico de Acidentes do Trabalho-2016(AEAT/INSS2016)(http://sa.previdencia.gov.br/site/2018/04/AEAT-2016.pdf). 
</t>
        </r>
      </text>
    </comment>
    <comment ref="G85" authorId="0">
      <text>
        <r>
          <rPr>
            <sz val="10"/>
            <color rgb="FF000000"/>
            <rFont val="Arial"/>
            <family val="2"/>
            <charset val="1"/>
          </rPr>
          <t>Valor do custo referente aos 15 primeiros dias em que o empregado encontra-se afastado por acidente de trabalho e a empresa contratada tem o dever de remunerá-lo. Após esse período o ônus passa a ser do INSS. De acordo com os números mais recentes apresentados pelo Ministério da Previdência e Assistência Social, baseados em informações prestadas pelos empregadores, por meio de GFIP, 0,78% dos empregados se acidentam no ano. Assim, a provisão corresponde a:
((15/30)/12) x 0,0078 x 100 = 0,03%
Esse valor pode variar conforme dados estatísticos da empresa.</t>
        </r>
      </text>
    </comment>
    <comment ref="B87" authorId="0">
      <text>
        <r>
          <rPr>
            <b/>
            <sz val="9"/>
            <color rgb="FF000000"/>
            <rFont val="Tahoma"/>
            <family val="2"/>
            <charset val="1"/>
          </rPr>
          <t>Usuário do Windows:</t>
        </r>
        <r>
          <rPr>
            <sz val="9"/>
            <color rgb="FF000000"/>
            <rFont val="Tahoma"/>
            <family val="2"/>
            <charset val="1"/>
          </rPr>
          <t>Esse item (Ausência por doença), foi exlcuido do modelo de tabela da IN05/2017, mas não foi dito o motivo, nem mesmo se deveria ser computado por exemplo com o item Ausências Legais,</t>
        </r>
        <r>
          <rPr>
            <b/>
            <sz val="9"/>
            <color rgb="FF000000"/>
            <rFont val="Tahoma"/>
            <family val="2"/>
            <charset val="1"/>
          </rPr>
          <t>enquanto não sai o manual de prenchimento de planilha</t>
        </r>
        <r>
          <rPr>
            <sz val="9"/>
            <color rgb="FF000000"/>
            <rFont val="Tahoma"/>
            <family val="2"/>
            <charset val="1"/>
          </rPr>
          <t>prometido pelo Ministério do Planejamento acho prudente continuar usando o percentual por se tratar do mais impactante na planilha de custos.</t>
        </r>
      </text>
    </comment>
    <comment ref="G87" authorId="0">
      <text>
        <r>
          <rPr>
            <sz val="10"/>
            <color rgb="FF000000"/>
            <rFont val="Arial"/>
            <family val="2"/>
            <charset val="1"/>
          </rPr>
          <t>Esta parcela refere-se aos dias em que o empregado fica doente e a contratada deve providenciar sua substituição. Entendemos que deva ser adotado 5,96 dias, conforme consta no memorial de cálculo encaminhado pelo MP, devendo-se converter esses dias em mês e depois dividi-lo pelo número de meses no ano. (Acórdão 1753/2008 – Plenário TCU)
Cálculo:
(5,96/30)/12 x 100 = 1,66%;
Esse valor pode variar conforme dados estatísticos da empresa.</t>
        </r>
      </text>
    </comment>
    <comment ref="B93" authorId="0">
      <text>
        <r>
          <rPr>
            <b/>
            <sz val="9"/>
            <color rgb="FF000000"/>
            <rFont val="Tahoma"/>
            <family val="2"/>
            <charset val="1"/>
          </rPr>
          <t>Usuário do Windows:</t>
        </r>
        <r>
          <rPr>
            <sz val="9"/>
            <color rgb="FF000000"/>
            <rFont val="Tahoma"/>
            <family val="2"/>
            <charset val="1"/>
          </rPr>
          <t>Texto extraído da IN 05/2017 
Nota: Quando houver a necessidade de reposição de um empregado durante sua ausência nos casos de intervalo para repouso ou alimentação deve-se contemplar o Submódulo 4.2.</t>
        </r>
      </text>
    </comment>
    <comment ref="B107" authorId="0">
      <text>
        <r>
          <rPr>
            <b/>
            <sz val="9"/>
            <color rgb="FF000000"/>
            <rFont val="Tahoma"/>
            <family val="2"/>
            <charset val="1"/>
          </rPr>
          <t>Usuário do Windows:</t>
        </r>
        <r>
          <rPr>
            <sz val="9"/>
            <color rgb="FF000000"/>
            <rFont val="Tahoma"/>
            <family val="2"/>
            <charset val="1"/>
          </rPr>
          <t> Definição
Correspondem aos dispêndios relativos aos custos indiretos, tributos e lucros. Na metodologia de cálculo dos valores limites é denominado CITL.</t>
        </r>
      </text>
    </comment>
    <comment ref="F108" authorId="0">
      <text>
        <r>
          <rPr>
            <b/>
            <sz val="9"/>
            <color rgb="FF000000"/>
            <rFont val="Tahoma"/>
            <family val="2"/>
            <charset val="1"/>
          </rPr>
          <t>Usuário do Windows:
Texto extraído do Manual de preenchimento de Planilha MPOG 2011</t>
        </r>
        <r>
          <rPr>
            <sz val="9"/>
            <color rgb="FF000000"/>
            <rFont val="Tahoma"/>
            <family val="2"/>
            <charset val="1"/>
          </rPr>
          <t>Nota Explicativa: 
Custos indiretos: são os gastos da contratada com sua estrutura administrativa, organizacional e gerenciamento de seus contratos, tais como as despesas relativas a: a) funcionamento e manutenção da sede, tais como aluguel, água, luz, telefone, o Imposto Predial Territorial Urbano – IPTU, dentre outros; b) pessoal administrativo; c) material e equipamentos de escritório; d) supervisão de serviços;  e) seguros.
 -</t>
        </r>
        <r>
          <rPr>
            <b/>
            <sz val="9"/>
            <color rgb="FF000000"/>
            <rFont val="Tahoma"/>
            <family val="2"/>
            <charset val="1"/>
          </rPr>
          <t>Observação (1) -  No cálculo dos valores limites para os serviços de vigilância e limpeza foram estabelecidos os percentuais de 6% e 3% respectivamente</t>
        </r>
        <r>
          <rPr>
            <sz val="9"/>
            <color rgb="FF000000"/>
            <rFont val="Tahoma"/>
            <family val="2"/>
            <charset val="1"/>
          </rPr>
          <t>. Os custos indiretos são calculados mediante incidência daqueles percentuais sobre o somatório da remuneração, benefícios mensais e diários, insumos diversos, encargos sociais e trabalhistas.</t>
        </r>
        <r>
          <rPr>
            <b/>
            <sz val="12"/>
            <color rgb="FFFF0000"/>
            <rFont val="Tahoma"/>
            <family val="2"/>
            <charset val="1"/>
          </rPr>
          <t>Na verdade o esse texto traz arredondamentos, sendo que a Margem de lucro definida em estudo na Caderno de Limpeza do MPOG 2014 é</t>
        </r>
        <r>
          <rPr>
            <b/>
            <sz val="12"/>
            <color rgb="FF000000"/>
            <rFont val="Tahoma"/>
            <family val="2"/>
            <charset val="1"/>
          </rPr>
          <t>de 6,79% para Lucro e 3% para Custos Indiretos</t>
        </r>
        <r>
          <rPr>
            <b/>
            <sz val="12"/>
            <color rgb="FFFF0000"/>
            <rFont val="Tahoma"/>
            <family val="2"/>
            <charset val="1"/>
          </rPr>
          <t>, para os serviços de Vigilância e limpeza</t>
        </r>
        <r>
          <rPr>
            <sz val="9"/>
            <color rgb="FF000000"/>
            <rFont val="Tahoma"/>
            <family val="2"/>
            <charset val="1"/>
          </rPr>
          <t>________________________________________________________________________________________________________________</t>
        </r>
        <r>
          <rPr>
            <b/>
            <sz val="9"/>
            <color rgb="FF000000"/>
            <rFont val="Tahoma"/>
            <family val="2"/>
            <charset val="1"/>
          </rPr>
          <t>IN nº 05/17 – anexo vii-a</t>
        </r>
        <r>
          <rPr>
            <sz val="9"/>
            <color rgb="FF000000"/>
            <rFont val="Tahoma"/>
            <family val="2"/>
            <charset val="1"/>
          </rPr>
          <t>9.2  Consideram-se preços manifestamente inexeqüíveis aqueles que, comprovadamente, forem insuficientes para a cobertura dos custos decorrentes da contratação pretendida.
9.3 A inexeqüibilidade dos valores referentes a itens isolados da planilha de custos  e formação de preços não caracteriza motivo suficiente para a desclassificação da proposta, , desde que não contrariem exigências legais.
9.4 Se houver indícios de inexequibilidade da proposta de preço, ou em caso da necessidade de esclarecimentos complementares, poderá ser efetuada diligência, na forma do § 3° do art. 43 da Lei n° 8.666, de 1993, para efeito de comprovação de sua exequibilidade, podendo ser adotado, dentre outros, os seguintes procedimentos:
questionamentos junto à proponente para a apresentação de justificativas e comprovações em relação aos custos com indícios de inexequibilidade;verificação de Acordos, Convenções ou Dissídios Coletivos de Trabalho;levantamento de informações junto ao Ministério do Trabalho; consultas a entidades ou conselhos de classe, sindicatos ou similares; pesquisas em órgãos públicos ou empresas privadas verificação de outros contratos que o proponente mantenha com a Administração ou com a iniciativa privada;pesquisa de preço com fornecedores dos insumos utilizados, tais como: atacadistas, lojas de suprimentos,supermercados e fabricantes;verificação de notas fiscais dos produtos adquiridos pelo proponente;
levantamento de indicadores salariais ou trabalhistas publicados por órgãos de pesquisa;estudos setoriais;consultas às Fazendas Federal, Distrital, Estadual ou Municipal; eanálise de soluções técnicas escolhidas e/ou condições excepcionalmente favoráveis que o proponente disponha para a prestação dos serviços.
9.5 Qualquer interessado poderá requerer que se realizem diligências para aferir a exequibilidade e a legalidade das propostas, devendo apresentar as provas ou os indícios que fundamentam o pedido;
9.6 Quando o licitante apresentar</t>
        </r>
        <r>
          <rPr>
            <b/>
            <sz val="9"/>
            <color rgb="FF000000"/>
            <rFont val="Tahoma"/>
            <family val="2"/>
            <charset val="1"/>
          </rPr>
          <t>preço final inferior a 30% da média dos preços ofertados</t>
        </r>
        <r>
          <rPr>
            <sz val="9"/>
            <color rgb="FF000000"/>
            <rFont val="Tahoma"/>
            <family val="2"/>
            <charset val="1"/>
          </rPr>
          <t>para o mesmo item, e a inexequibilidade da proposta não for flagrante e evidente pela análise da planilha de custos e formação de preços,</t>
        </r>
        <r>
          <rPr>
            <b/>
            <sz val="9"/>
            <color rgb="FF000000"/>
            <rFont val="Tahoma"/>
            <family val="2"/>
            <charset val="1"/>
          </rPr>
          <t>não sendo possível a sua imediata desclassificaçã</t>
        </r>
        <r>
          <rPr>
            <sz val="9"/>
            <color rgb="FF000000"/>
            <rFont val="Tahoma"/>
            <family val="2"/>
            <charset val="1"/>
          </rPr>
          <t>o, será obrigatória a realização de diligências para aferir a legalidade e exequibilidade da proposta.
________________________________________________________________________________________________________________</t>
        </r>
        <r>
          <rPr>
            <b/>
            <sz val="9"/>
            <color rgb="FF000000"/>
            <rFont val="Tahoma"/>
            <family val="2"/>
            <charset val="1"/>
          </rPr>
          <t>TCU –Acórdão nº 1.214/2013 – Plenário
III.H percentuais mínimos aceitáveis para encargos sociais e ldi</t>
        </r>
        <r>
          <rPr>
            <sz val="9"/>
            <color rgb="FF000000"/>
            <rFont val="Tahoma"/>
            <family val="2"/>
            <charset val="1"/>
          </rPr>
          <t>219. Do mesmo modo, lucro, como se sabe, pode ser maximizado com uma boa gestão de mão de obra, mas não se deve abrir mão de um mínimo aceitável, pois não é crível que prestadores de serviços estejam dispostos a trabalharem de graça para o erário. Não fixar lucro mínimo é um incentivo para que as empresas avancem sobre outras verbas, como direitos trabalhistas, tributos e contribuições compulsórias, como tem sido praxe.
220. Também as despesas administrativas, devem ser objeto de análise pela administração, pois não é razoável que a empresa não possua esse gasto. No entanto, é aceitável que existam justificativas para reduzí-lo ou eliminá-lo, por exemplo, que a empresa administre muitos contratos, ou que se trate de uma empresa familiar, mas para isso a empresa necessite apresenta-las.
_______________________________________________________________________________________________________________</t>
        </r>
        <r>
          <rPr>
            <b/>
            <sz val="9"/>
            <color rgb="FF000000"/>
            <rFont val="Tahoma"/>
            <family val="2"/>
            <charset val="1"/>
          </rPr>
          <t>Mas em outro acordão o TCU definiu que  os % são livres para serem definidos por cada fornecedor:
(Acórdão 325/2007-TCU-Plenário).Não há vedação legalà atuação, por parte de empresas contratadas pela Administração Pública Federal,sem margem de lucro ou com margem de lucro mínima, pois tal fato depende da estratégia comercial da empresa e não conduz, necessariamente, à inexecução da proposta.
___________________________________________________________________________________________________Outro Acórdão que parece trazer certa solução, estabelece que os percentuais mínimos devem ser estabelecidos em Edital.A desclassificação de proposta por inexequibilidade deve ser objetivamente demonstrada, a partir de critérios previamente publicados (Acórdãos 2.528/2012 e 1.092/2013, ambos do Plenário).
Vale destacar que a questão foi abordada no Acórdão nº 1.214/13-Plenário, em sede de representação formulada a partir de trabalho realizado por grupo de estudos, constituído com o objetivo de apresentar proposições de melhorias nos procedimentos relativos à terceirização de serviços continuados na Administração Pública Federal. Um dos problemas apontados naquela ocasião foi justamente a dificuldade enfrentada pela Administração no exame de exequibilidade das propostas, em razão da ausência de parâmetros seguros de análise.
De acordo coma conclusão do grupo, “(…)os editais deveriam consignar expressamente as condições mínimas para que as propostas sejam consideradas exequíveis, proibindo propostas com lucro e despesas administrativas iguais a zero, entre outros, em razão de esse percentual englobar os impostos e contribuições não repercutíveis (IR, CSLL). Registre-se que o grupo não determinou quais seriam as condições mínimas ideais, de modo que deverá ser realizado estudo para determiná-las e, assim, possibilitar a implementação dessa proposta.”________________________________________________________________________________________________________________</t>
        </r>
      </text>
    </comment>
    <comment ref="F109" authorId="0">
      <text>
        <r>
          <rPr>
            <sz val="10"/>
            <color rgb="FF000000"/>
            <rFont val="Arial"/>
            <family val="2"/>
            <charset val="1"/>
          </rPr>
          <t>(Acórdão 325/2007-TCU-Plenário).</t>
        </r>
        <r>
          <rPr>
            <b/>
            <sz val="10"/>
            <color rgb="FF000000"/>
            <rFont val="Arial"/>
            <family val="2"/>
            <charset val="1"/>
          </rPr>
          <t>Não há vedação legal</t>
        </r>
        <r>
          <rPr>
            <sz val="10"/>
            <color rgb="FF000000"/>
            <rFont val="Arial"/>
            <family val="2"/>
            <charset val="1"/>
          </rPr>
          <t>à atuação, por parte de empresas contratadas pela Administração Pública Federal,</t>
        </r>
        <r>
          <rPr>
            <b/>
            <sz val="10"/>
            <color rgb="FF000000"/>
            <rFont val="Arial"/>
            <family val="2"/>
            <charset val="1"/>
          </rPr>
          <t>sem margem de lucro ou com margem de lucro mínima</t>
        </r>
        <r>
          <rPr>
            <sz val="10"/>
            <color rgb="FF000000"/>
            <rFont val="Arial"/>
            <family val="2"/>
            <charset val="1"/>
          </rPr>
          <t>, pois tal fato depende da estratégia comercial da empresa e não conduz, necessariamente, à inexecução da proposta
2. A desclassificação de proposta por inexequibilidade deve ser objetivamente demonstrada, a partir de critérios previamente publicados (Acórdãos 2.528/2012 e 1.092/2013, ambos do Plenário)
------------------------------------------------------------------------------------------------------------------------------------------
Mas em outro acórdão o TCU deliberou o seguinte:
Vale destacar que a questão foi abordada no Acórdão nº 1.214/13-Plenário, em sede de representação formulada a partir de trabalho realizado por grupo de estudos, constituído com o objetivo de apresentar proposições de melhorias nos procedimentos relativos à terceirização de serviços continuados na Administração Pública Federal. Um dos problemas apontados naquela ocasião foi justamente a dificuldade enfrentada pela Administração no exame de exequibilidade das propostas, em razão da ausência de parâmetros seguros de análise.
De acordo coma conclusão do grupo, “(…)</t>
        </r>
        <r>
          <rPr>
            <b/>
            <sz val="10"/>
            <color rgb="FF000000"/>
            <rFont val="Arial"/>
            <family val="2"/>
            <charset val="1"/>
          </rPr>
          <t>os editais deveriam consignar expressamente as condições mínimas para que as propostas sejam consideradas exequíveis, proibindo propostas com lucro e despesas administrativas iguais a zero</t>
        </r>
        <r>
          <rPr>
            <sz val="10"/>
            <color rgb="FF000000"/>
            <rFont val="Arial"/>
            <family val="2"/>
            <charset val="1"/>
          </rPr>
          <t>, entre outros, em razão de esse percentual englobar os impostos e contribuições não repercutíveis (IR, CSLL). Registre-se que o grupo não determinou quais seriam as condições mínimas ideais, de modo que deverá ser realizado estudo para determiná-las e, assim, possibilitar a implementação dessa proposta.”
------------------------------------------------------------------------------------------------------------------------------------------</t>
        </r>
        <r>
          <rPr>
            <b/>
            <sz val="10"/>
            <color rgb="FFFF0000"/>
            <rFont val="Arial"/>
            <family val="2"/>
            <charset val="1"/>
          </rPr>
          <t>Conclusão:
Melhor solução, estabelecer nos Editais com base em estudos percentuais minímos de lucros e custos indiretos</t>
        </r>
      </text>
    </comment>
    <comment ref="G112" authorId="0">
      <text>
        <r>
          <rPr>
            <sz val="10"/>
            <color rgb="FF000000"/>
            <rFont val="Arial"/>
            <family val="2"/>
            <charset val="1"/>
          </rPr>
          <t>Empresas Lucro Presumido:
PIS: 0,65% / COFINS: 3,00%
Empresas Lucro Real:
PIS: 1,65% / COFINS: 7,60%
Para as empresas optantes pelo Simples Nacional, a tributação varia conforme o faturamento mensal.
Soma-se os módulo 1,2,3,4,5, bem como os Custos Indiretos e o Lucro. Em seguida divide-se pelo Fator de Divisão, conforme a tributação aplicada (presumido,real,SIMPLES). Dessa forma, encontra-se o faturamento o qual incidirá a alíquota do PIS (PRESUMIDO).</t>
        </r>
      </text>
    </comment>
    <comment ref="G113" authorId="0">
      <text>
        <r>
          <rPr>
            <sz val="10"/>
            <color rgb="FF000000"/>
            <rFont val="Arial"/>
            <family val="2"/>
            <charset val="1"/>
          </rPr>
          <t>Empresas Lucro Presumido:
PIS: 0,65% / COFINS: 3,00%
Empresas Lucro Real:
PIS: 1,65% / COFINS: 7,60%
Para as empresas optantes pelo Simples Nacional, a tributação varia conforme o faturamento mensal.
Soma-se os módulo 1,2,3,4,5, bem como os Custos Indiretos e o Lucro. Em seguida divide-se pelo Fator de Divisão, conforme a tributação aplicada (presumido,real,SIMPLES). Dessa forma, encontra-se o faturamento o qual incidirá a alíquota do COFINS (PRESUMIDO).</t>
        </r>
      </text>
    </comment>
    <comment ref="G115" authorId="0">
      <text>
        <r>
          <rPr>
            <sz val="10"/>
            <color rgb="FF000000"/>
            <rFont val="Arial"/>
            <family val="2"/>
            <charset val="1"/>
          </rPr>
          <t>SANTOS DUMONT 3% (PODE VARIAR CONFORME MUNICÍPIO)
ALÍQUOTAS  SIMPLES, CONFORME TABELA A SEGUIR:
Antigo Anexo III do Simples Nacional (alterada em 2018)
Receita Bruta em 12 meses (em R$)	Alíquota Total	IRPJ	CSLL	COFINS	PIS	CPP	ISS
De R$ 0,00 a R$ 180.000,00            	6,00%	0,00%	0,00%	0,00%	0,00%	4,00%	2,00%
De R$ 180.000,01 a R$ 360.000,00 	8,21%	0,00%	0,00%	1,42%	0,00%	4,00%	2,79%
De R$ 360.000,01 a R$ 540.000,00 	10,26%	0,48%	0,43%	1,43%	0,35%	4,07%	3,50%
De R$ 540.000,01 a R$ 720.000,00 	11,31%	0,53%	0,53%	1,56%	0,38%	4,47%	3,84%
De R$ 720.000,01 a R$ 900.000,00 	11,40%	0,53%	0,52%	1,58%	0,38%	4,52%	3,87%
De R$ 900.000,01 a R$ 1.080.000,00 	12,42%	0,57%	0,57%	1,73%	0,40%	4,92%	4,23%
De R$ 1.080.000,01 a R$ 1.260.000,00 	12,54%	0,59%	0,56%	1,74%	0,42%	4,97%	4,26%
De R$ 1.260.000,01 a R$ 1.440.000,00 	12,68%	0,59%	0,57%	1,76%	0,42%	5,03%	4,31%
De R$ 1.440.000,01 a R$ 1.620.000,00 	13,55%	0,63%	0,61%	1,88%	0,45%	5,37%	4,61%
De R$ 1.620.000,01 a R$ 1.800.000,00 	13,68%	0,63%	0,64%	1,89%	0,45%	5,42%	4,65%
De R$ 1.800.000,01 a R$ 1.980.000,00 	14,93%	0,69%	0,69%	2,07%	0,50%	5,98%	5,00%
De R$ 1.980.000,01 a R$ 2.160.000,00 	15,06%	0,69%	0,69%	2,09%	0,50%	6,09%	5,00%
De R$ 2.160.000,01 a R$ 2.340.000,00 	15,20%	0,71%	0,70%	2,10%	0,50%	6,19%	5,00%
De R$ 2.340.000,01 a R$ 2.520.000,00 	15,35%	0,71%	0,70%	2,13%	0,51%	6,30%	5,00%
De R$ 2.520.000,01 a R$ 2.700.000,00 	15,48%	0,72%	0,70%	2,15%	0,51%	6,40%	5,00%
De R$ 2.700.000,01 a R$ 2.880.000,00 	16,85%	0,78%	0,76%	2,34%	0,56%	7,41%	5,00%
De R$ 2.880.000,01 a R$ 3.060.000,00 	16,98%	0,78%	0,78%	2,36%	0,56%	7,50%	5,00%
De R$ 3.060.000,01 a R$ 3.240.000,00 	17,13%	0,80%	0,79%	2,37%	0,57%	7,60%	5,00%
De R$ 3.240.000,01 a R$ 3.420.000,00 	17,27%	0,80%	0,79%	2,40%	0,57%	7,71%	5,00%
De R$ 3.420.000,01 a R$ 3.600.000,00 	17,42%	0,81%	0,79%	2,42%	0,57%	7,83%	5,00%</t>
        </r>
        <r>
          <rPr>
            <b/>
            <sz val="10"/>
            <color rgb="FF000000"/>
            <rFont val="Arial"/>
            <family val="2"/>
            <charset val="1"/>
          </rPr>
          <t>É aconselhável buscar auxilio do setor contábil do órgão para aferição dos tributos.</t>
        </r>
      </text>
    </comment>
    <comment ref="B132" authorId="0">
      <text>
        <r>
          <rPr>
            <sz val="10"/>
            <color rgb="FF000000"/>
            <rFont val="Arial"/>
            <family val="2"/>
            <charset val="1"/>
          </rPr>
          <t>Serviços de Limpeza devem usar o Quadro 6 da Planilha modelo da IN  05/2017 ( esta planilha já está configurada na aba por M²).
Serviços de Vigilância devem usar o quadro 5 da  da Planilha modelo da IN  05/2017</t>
        </r>
      </text>
    </comment>
  </commentList>
</comments>
</file>

<file path=xl/comments8.xml><?xml version="1.0" encoding="utf-8"?>
<comments xmlns="http://schemas.openxmlformats.org/spreadsheetml/2006/main">
  <authors>
    <author>Autor</author>
  </authors>
  <commentList>
    <comment ref="A3" authorId="0">
      <text>
        <r>
          <rPr>
            <sz val="10"/>
            <color rgb="FF000000"/>
            <rFont val="Arial"/>
            <family val="2"/>
            <charset val="1"/>
          </rPr>
          <t>ESSAS INFORMAÇÕES DEVEM SER REPASSADAS VIA EMAIL PELO SETOR DE LICITAÇÃO</t>
        </r>
      </text>
    </comment>
    <comment ref="H27" authorId="0">
      <text>
        <r>
          <rPr>
            <sz val="10"/>
            <color rgb="FF000000"/>
            <rFont val="Arial"/>
            <family val="2"/>
            <charset val="1"/>
          </rPr>
          <t>COLOCAR O VALOR DA CCT MAS DEIXAR ABERTO PARA FORNECEDOR ALTERAR “ SÓ PODE SER MAIOR QUE A CCT”</t>
        </r>
      </text>
    </comment>
    <comment ref="B28" authorId="0">
      <text>
        <r>
          <rPr>
            <sz val="10"/>
            <color rgb="FF000000"/>
            <rFont val="Arial"/>
            <family val="2"/>
            <charset val="1"/>
          </rPr>
          <t>Previsto em legislação ou acordo coletivo para trabalhos que impliquem em condições de risco à saúde ou integridade física do trabalhador.
30% sobre o salário base.</t>
        </r>
      </text>
    </comment>
    <comment ref="D28" authorId="0">
      <text>
        <r>
          <rPr>
            <sz val="10"/>
            <color rgb="FF000000"/>
            <rFont val="Arial"/>
            <family val="2"/>
            <charset val="1"/>
          </rPr>
          <t>Selecionar:
*Com Periculosidade
* Sem Periculosidade</t>
        </r>
      </text>
    </comment>
    <comment ref="E28" authorId="0">
      <text>
        <r>
          <rPr>
            <sz val="10"/>
            <color rgb="FF000000"/>
            <rFont val="Arial"/>
            <family val="2"/>
            <charset val="1"/>
          </rPr>
          <t>Selecionar 0% quando não houver Periculosidade e 30% quando incidir</t>
        </r>
      </text>
    </comment>
    <comment ref="B29" authorId="0">
      <text>
        <r>
          <rPr>
            <sz val="10"/>
            <color rgb="FF000000"/>
            <rFont val="Arial"/>
            <family val="2"/>
            <charset val="1"/>
          </rPr>
          <t>O salário de referência para cálculo do seu custo é o salário mínimo estadual ou o nacional ou o salário normativo da categoria se expressamente estabelecido no acordo ou convenção coletiva.
São operações que, por sua natureza, condições ou métodos de trabalho, exponham os empregados a agentes nocivos à saúde, acima dos limites de tolerância fixados em razão da natureza e da intensidade do agente e do tempo de exposição aos seus efeitos. (Art. 189, CLT)
Grau máximo: 40%;
Grau médio: 20%;
Grau mínimo: 10%.</t>
        </r>
      </text>
    </comment>
    <comment ref="B30" authorId="0">
      <text>
        <r>
          <rPr>
            <sz val="10"/>
            <color rgb="FF000000"/>
            <rFont val="Arial"/>
            <family val="2"/>
            <charset val="1"/>
          </rPr>
          <t>Verificar as auterações trazidas pela Reforma Trabalhista – Á principio aguardar as Novas CCT´s
Conferido ao trabalhador por trabalho executado entre as 22 horas de um dia e as 5 horas do dia seguinte.
Remunerado com adicional de, pelo menos, 20% sobre a hora diurna.
Adicional noturno para 1 hora trabalhada = Valor da hora diurna X 20%
Valor da hora diurna = Salário base / Total de horas trabalhadas no mês
O total de horas trabalhadas no mês calcula-se considerando 5 semanas de trabalho, conforme determinação do MTE.
Exemplo:
Salário: R$2.200,00
Valor da hora diurna: 2.200,00 / 220 horas (jornada de 44 horas semanais) = R$10,00
Adicional noturno para 1 hora trabalhada = 10,00 X 20% = R$2,00</t>
        </r>
      </text>
    </comment>
    <comment ref="D30" authorId="0">
      <text>
        <r>
          <rPr>
            <sz val="10"/>
            <color rgb="FF000000"/>
            <rFont val="Arial"/>
            <family val="2"/>
            <charset val="1"/>
          </rPr>
          <t>Selecionar entre:
Mínimo
Médio 
Máximo
Sem Insalubridade</t>
        </r>
      </text>
    </comment>
    <comment ref="E30" authorId="0">
      <text>
        <r>
          <rPr>
            <sz val="10"/>
            <color rgb="FF000000"/>
            <rFont val="Arial"/>
            <family val="2"/>
            <charset val="1"/>
          </rPr>
          <t>Selecionar entre:
0%
10%
20%
40%
E o valor da Insalubridade será calculado sobre o valor da salário</t>
        </r>
      </text>
    </comment>
    <comment ref="F30" authorId="0">
      <text>
        <r>
          <rPr>
            <sz val="10"/>
            <color rgb="FF000000"/>
            <rFont val="Arial"/>
            <family val="2"/>
            <charset val="1"/>
          </rPr>
          <t>Digitar valo do Salário Mínimo ou o da Categoria se expressamente estabelecido em Convenção Coletiva</t>
        </r>
      </text>
    </comment>
    <comment ref="B31" authorId="0">
      <text>
        <r>
          <rPr>
            <sz val="10"/>
            <color rgb="FF000000"/>
            <rFont val="Arial"/>
            <family val="2"/>
            <charset val="1"/>
          </rPr>
          <t>Corresponde a 52 minutos e 30 segundos.
A hora noturna adicional corresponde à diferença da hora noturna menos a hora normal.
Hora noturna = Hora normal X (60/52,5)
Hora noturna = Hora normal X 1,14285714
Exemplo:
Salário: R$2.200,00
Valor da hora diurna: 2.200,00 / 220 horas (jornada de 44 horas semanais) = R$10,00
Hora noturna = 10,00 X 1,14285714 = R$11,42
Hora noturna adicional = Hora noturna – Hora normal
Hora noturna adicional = (11,42 X 20%) - (R$10,00 X 20%) = 2,286 – 2,00 = 0,286</t>
        </r>
      </text>
    </comment>
    <comment ref="H32" authorId="0">
      <text>
        <r>
          <rPr>
            <b/>
            <sz val="9"/>
            <color indexed="81"/>
            <rFont val="Tahoma"/>
            <family val="2"/>
          </rPr>
          <t>UFERSA:O adicional noturno influenciará no repouso semanal remunerado, portando para compensar o descanso semanal decorrente do labor noturno, o empregado também terá reflexo em seu descanso remunerado de adicional noturno.  Em decorrência do valor do posto ser mensal, ou seja de um mês qualquer, os dias úteis, domingos e feriados foram tomados como uma média mensal dentro de um período de um ano (2018). Adotamos como o fator multiplicador de 0,229 , igual à (1/média de dias úteis 2018)xmédia de feriados e domingos em  2018.</t>
        </r>
        <r>
          <rPr>
            <sz val="9"/>
            <color indexed="81"/>
            <rFont val="Tahoma"/>
            <family val="2"/>
          </rPr>
          <t xml:space="preserve">
</t>
        </r>
      </text>
    </comment>
    <comment ref="B34" authorId="0">
      <text>
        <r>
          <rPr>
            <sz val="10"/>
            <color rgb="FF000000"/>
            <rFont val="Arial"/>
            <family val="2"/>
            <charset val="1"/>
          </rPr>
          <t>Relativo ao trabalho realizado além da jornada diária regular estabelecida, com acréscimo de no mínimo 50% do valor da hora normal para trabalho extra (entre segunda e sábado) e de 100% em domingos e feriados.
Não pode ser maior do que 2 horas diárias. (Art. 59, CLT)</t>
        </r>
      </text>
    </comment>
    <comment ref="B40" authorId="0">
      <text>
        <r>
          <rPr>
            <b/>
            <sz val="10"/>
            <color rgb="FF000000"/>
            <rFont val="Arial"/>
            <family val="2"/>
            <charset val="1"/>
          </rPr>
          <t>Cálculo de acordo com o Manual para preenchimento de Planilha do MPOG de 2011</t>
        </r>
        <r>
          <rPr>
            <sz val="10"/>
            <color rgb="FF000000"/>
            <rFont val="Arial"/>
            <family val="2"/>
            <charset val="1"/>
          </rPr>
          <t>Considerando que na duração do contrato de 60 meses o empregado tem 5 meses de férias e labora em 56 meses:
(5/56) x 100 = 8,93%;</t>
        </r>
        <r>
          <rPr>
            <b/>
            <sz val="10"/>
            <color rgb="FF000000"/>
            <rFont val="Arial"/>
            <family val="2"/>
            <charset val="1"/>
          </rPr>
          <t>Cálculo de acordo com o Caderno de Logistica/ Serviços de limpeza  MPOG de 2014</t>
        </r>
        <r>
          <rPr>
            <sz val="10"/>
            <color rgb="FF000000"/>
            <rFont val="Arial"/>
            <family val="2"/>
            <charset val="1"/>
          </rPr>
          <t>Para os contratos de 1 ano (12 meses) o empregado trabalha 12 meses e tem direito a 1 mês de férias, o que significa:
(1/12) x 100 = 8,33%.
Por derradeiro a IN 05/2017, trouxe o seguinte texto
Nota 1: Como a planilha de custos e formação de preços é calculada mensalmente, provisiona-se
proporcionalmente 1/12 (um doze avos) dos valores referentes a gratificação natalina e adicional
de férias.</t>
        </r>
        <r>
          <rPr>
            <b/>
            <sz val="10"/>
            <color rgb="FF000000"/>
            <rFont val="Arial"/>
            <family val="2"/>
            <charset val="1"/>
          </rPr>
          <t>( No meu entendimento definiu que o percentual do 13° é de 8,33% ), 
MAS É NECESSÁRIO ESPERAR SAIR O MANUAL DE PREENCHIMENTO DA PLANILHA, TÃO PROMETIDO PARA  SE BATER O MARTELO, POIS COSTUMA UMA PUBLICAÇÃO NÃO BATER COM A OUTRA, SÓ PARA VARIAR.</t>
        </r>
      </text>
    </comment>
    <comment ref="G40" authorId="0">
      <text>
        <r>
          <rPr>
            <b/>
            <sz val="9"/>
            <color rgb="FF000000"/>
            <rFont val="Tahoma"/>
            <family val="2"/>
            <charset val="1"/>
          </rPr>
          <t>Usuário do Windows:</t>
        </r>
        <r>
          <rPr>
            <sz val="9"/>
            <color rgb="FF000000"/>
            <rFont val="Tahoma"/>
            <family val="2"/>
            <charset val="1"/>
          </rPr>
          <t>8,33% ou 8,93% Ler comentário na descrição do item 13º SALÁRIO ao lado</t>
        </r>
      </text>
    </comment>
    <comment ref="B41" authorId="0">
      <text>
        <r>
          <rPr>
            <sz val="10"/>
            <color rgb="FF000000"/>
            <rFont val="Arial"/>
            <family val="2"/>
            <charset val="1"/>
          </rPr>
          <t>.( Art. 129,Art. 130, inciso I da CLT e Art. 7° , inciso XCII da CF/88 [=(1/12)+(1/3)/12]</t>
        </r>
        <r>
          <rPr>
            <b/>
            <sz val="10"/>
            <color rgb="FF000000"/>
            <rFont val="Arial"/>
            <family val="2"/>
            <charset val="1"/>
          </rPr>
          <t>Quando é retido a conta vinculada o calculo deve ser [</t>
        </r>
        <r>
          <rPr>
            <sz val="10"/>
            <color rgb="FF000000"/>
            <rFont val="Arial"/>
            <family val="2"/>
            <charset val="1"/>
          </rPr>
          <t>=(1/11)+(1/3/11) que dá os 12,10% retidos na conta vinculada (calculo CNJ).
A IN 05/2017, trouxe o seguinte texto com relação ao módulo 2.1
Nota 1: Como a planilha de custos e formação de preços é calculada mensalmente, provisiona-se
proporcionalmente 1/12 (um doze avos) dos valores referentes a gratificação natalina e adicional
de férias.</t>
        </r>
        <r>
          <rPr>
            <b/>
            <sz val="10"/>
            <color rgb="FF000000"/>
            <rFont val="Arial"/>
            <family val="2"/>
            <charset val="1"/>
          </rPr>
          <t>( No meu entendimento definiu que o percentual do 13° é de 8,33% ),</t>
        </r>
        <r>
          <rPr>
            <b/>
            <u/>
            <sz val="10"/>
            <color rgb="FF000000"/>
            <rFont val="Arial"/>
            <family val="2"/>
            <charset val="1"/>
          </rPr>
          <t>MAS É NECESSÁRIO ESPERAR SAIR O MANUAL DE PREENCHIMENTO DA PLANILHA, TÃO PROMETIDO PARA BATER O MARTELO, POIS COSTUMA UMA PUBLICAÇÃO NÃO BATER COM A OUTRA, SÓ PARA VARIAR.</t>
        </r>
        <r>
          <rPr>
            <sz val="10"/>
            <color rgb="FF000000"/>
            <rFont val="Arial"/>
            <family val="2"/>
            <charset val="1"/>
          </rPr>
          <t>Nota 2: O adicional de férias contido no Submódulo 2.1 corresponde a 1/3 (um terço) da
remuneração que por sua vez é divido por 12 (doze) conforme Nota 1 acima.</t>
        </r>
        <r>
          <rPr>
            <b/>
            <sz val="10"/>
            <color rgb="FF000000"/>
            <rFont val="Arial"/>
            <family val="2"/>
            <charset val="1"/>
          </rPr>
          <t>( Desta forma também defini que o percentual das férias seria 1/12 * 1/3 que corresponde a 11,11% , mas na cartilha da conta vinculada lançada em fevereiro de 2018, continua 12,10% para ser retido e pago na conta vinculada referente a provisão de férias e 1/3)</t>
        </r>
        <r>
          <rPr>
            <b/>
            <u/>
            <sz val="10"/>
            <color rgb="FF000000"/>
            <rFont val="Arial"/>
            <family val="2"/>
            <charset val="1"/>
          </rPr>
          <t>PORTANTO SE FAZ NECESSÁRIO CONTINUAR USANDO O CALCULO DO CNJ DE 12,10% EM CONTRATOS QUE UTILIZEM CONTA VINCULADA, POIS COMO PODERIAMOS RETER UM VALOR QUE NÃO ESTÁ PROVISIONADO NA PLANILHA)</t>
        </r>
      </text>
    </comment>
    <comment ref="G41" authorId="0">
      <text>
        <r>
          <rPr>
            <b/>
            <sz val="9"/>
            <color rgb="FF000000"/>
            <rFont val="Tahoma"/>
            <family val="2"/>
            <charset val="1"/>
          </rPr>
          <t>Usuário do Windows:</t>
        </r>
        <r>
          <rPr>
            <sz val="9"/>
            <color rgb="FF000000"/>
            <rFont val="Tahoma"/>
            <family val="2"/>
            <charset val="1"/>
          </rPr>
          <t>11,11% ou 12,10% Ler comentário na descrição do item FÉRIAS ao lado</t>
        </r>
      </text>
    </comment>
    <comment ref="B45" authorId="0">
      <text>
        <r>
          <rPr>
            <sz val="10"/>
            <color rgb="FF000000"/>
            <rFont val="Arial"/>
            <family val="2"/>
            <charset val="1"/>
          </rPr>
          <t>Contribuição de 20% sobre o total das remunerações destinada à Seguridade Social, conforme determina a Lei 8.212/91.</t>
        </r>
      </text>
    </comment>
    <comment ref="B46" authorId="0">
      <text>
        <r>
          <rPr>
            <sz val="10"/>
            <color rgb="FF000000"/>
            <rFont val="Arial"/>
            <family val="2"/>
            <charset val="1"/>
          </rPr>
          <t>Contribuições sociais destinadas ao Serviço Social da Indústria (SESI) e ao Serviço Social do Comércio (SESC). As empresas optantes pelo Simples Nacional são isentas. Para as demais empresas fica determinado o percentual de 1,5%.</t>
        </r>
      </text>
    </comment>
    <comment ref="D46" authorId="0">
      <text>
        <r>
          <rPr>
            <sz val="10"/>
            <color rgb="FF000000"/>
            <rFont val="Arial"/>
            <family val="2"/>
            <charset val="1"/>
          </rPr>
          <t>Usuário do Windows:
EMPRESAS OPTATANTES PELO SIMPLES ESTÃO ISENTAS DO PAGAMENTO DAS SEGUINTES CONTRIBUIÇÕES:  SESI ou SESC, SENAI ou SENAC, INCRA, Salário-Educação, SEBRAE, Portanto devem ser zeradas na Planilha.
Empresas de sessão de mão de obra não podem ser optantes pelo Simples com excessão das empresas que prestam serviços de serviços de vigilância, limpeza ou conservação desde que não exerçam em conjunto com outras atividades vedadas,c) Regime de Tributação – SIMPLES –Regime Especial Unificado de Arrecadação de Tributos e Contribuições – Microempresas (MEs) e Empresas de Pequeno Porte (EPPs) O SIMPLES consiste em um regime especial unificado de arrecadação de Tributos e Contribuições devidos pelas Microempresas e Empresas de Pequeno Porte, instituído pela Lei Complementar nº 123, de 14 de dezembro de 2006. Lembramos ainda que as microempresas e empresas de pequeno porte optantes pelo Simples Nacional ficam dispensadas do pagamento das demais contribuições instituídas pela União, tais como SESI ou SESC, SENAI ou SENAC, INCRA, Salário-Educação, SEBRAE, conforme expressa previsão legal contida no art. 13, § 3º da Lei Complementar nº 123/2006: § 3º  As microempresas e empresas de pequeno porte optantes pelo Simples Nacional ficam dispensadas do pagamento das demais contribuições instituídas pela União, inclusive as contribuições para as entidades privadas de serviço social e de formação profissional vinculadas ao sistema sindical, de que trata o art. 240 da Constituição Federal, e demais entidades de serviço social autônomo. Nem todas as microempresas ou empresas de pequeno porte poderão recolher os impostos e contribuições na forma do Simples, como por exemplo, as empresas que exercem atividade de cessão ou locação de mão de obra8. As vedações ao ingresso no Simples Nacional estão previstas no art. 17 da Lei Complementar nº 123/2006. 
8 Entende-se por cessão de mão de obra a colocação à disposição da empresa contratante, em suas dependências ou nas de terceiros, de trabalhadores que realizem serviços contínuos, relacionados ou não com sua atividade fim, quaisquer que sejam a natureza e a forma de contratação, inclusive por meio de trabalho temporário na forma da Lei nº 6.019, de 3 de janeiro de 1974. (art.115 Instrução Normativa RFB nº 971, de 13 de novembro de 2009)
117
CAPÍTULO VI – COMPOSIÇÃO DA PLANILHA DE CUSTO E FORMAÇÃO DE PREÇO 
Art. 17. Não poderão recolher os impostos e contribuições na forma do Simples Nacional a microempresa ou a empresa de pequeno porte: (...) XII – que realize cessão ou locação de mão de obra; É importante ressaltar que as vedações previstas no caput do art. 17 da LC nº 123/2006 não se aplicam às pessoas jurídicas que se dediquem exclusivamente às atividades referidas nos §§ 5o-B a 5o-E do art. 18 da Lei Complementar multicitada, ou as exerçam em conjunto com outras atividades que não tenham sido objeto de vedação no mesmo caput. Não se incluem nas vedações, por exemplo, as empresas que prestam serviços de vigilância, limpeza ou conservação desde que não exerçam em conjunto com outras atividades vedadas.
LC 123/2006 – §§ 5o-B a 5o-E do art. 18 da Lei Complementar nº 123/2006 § 5º-H.  A vedação de que trata o inciso XII do caput do art. 17 desta Lei Complementar não se aplica às atividades referidas no § 5º-C deste artigo. (Incluído pela Lei Complementar nº 128, de 2008) § 5º-C.  Sem prejuízo do disposto no § 1º do art. 17 desta Lei Complementar, as atividades de prestação de serviços seguintes serão tributadas na forma do Anexo IV desta Lei Complementar, hipótese em que não estará incluída no Simples Nacional a contribuição prevista no inciso VI do caput do art. 13 desta Lei Complementar, devendo ela ser recolhida segundo a legislação prevista para os demais contribuintes ou responsáveis: (Incluído pela Lei Complementar nº 128, de 2008) (...) VI – serviço de vigilância, limpeza ou conservação. (Incluído pela Lei Complementar nº 128, de 2008)</t>
        </r>
      </text>
    </comment>
    <comment ref="G46" authorId="0">
      <text>
        <r>
          <rPr>
            <sz val="9"/>
            <color rgb="FF000000"/>
            <rFont val="Tahoma"/>
            <family val="2"/>
            <charset val="1"/>
          </rPr>
          <t>Zerar se for optante pelo simples</t>
        </r>
      </text>
    </comment>
    <comment ref="B47" authorId="0">
      <text>
        <r>
          <rPr>
            <sz val="10"/>
            <color rgb="FF000000"/>
            <rFont val="Arial"/>
            <family val="2"/>
            <charset val="1"/>
          </rPr>
          <t>Contribuição ao Serviço Nacional de Aprendizagem Industrial (SENAI) e ao Serviço Nacional de Aprendizagem Comercial (SENAC). As empresas optantes pelo Simples Nacional são isentas. Para as demais empresas com menos de 500 empregados a incidência é de 1% e para as empresas com mais de 500 empregados a incidência é de 1,2%.</t>
        </r>
      </text>
    </comment>
    <comment ref="G47" authorId="0">
      <text>
        <r>
          <rPr>
            <b/>
            <sz val="9"/>
            <color rgb="FF000000"/>
            <rFont val="Tahoma"/>
            <family val="2"/>
            <charset val="1"/>
          </rPr>
          <t>Usuário do Windo</t>
        </r>
        <r>
          <rPr>
            <sz val="9"/>
            <color rgb="FF000000"/>
            <rFont val="Tahoma"/>
            <family val="2"/>
            <charset val="1"/>
          </rPr>
          <t>Zerar se for optante pelo simples</t>
        </r>
      </text>
    </comment>
    <comment ref="B48" authorId="0">
      <text>
        <r>
          <rPr>
            <sz val="10"/>
            <color rgb="FF000000"/>
            <rFont val="Arial"/>
            <family val="2"/>
            <charset val="1"/>
          </rPr>
          <t>Contribuição ao Instituto Nacional de Colonização e Reforma Agrária. As empresas optantes pelo Simples Nacional são isentas e as demais empresas pagam um percentual de 0,2%.</t>
        </r>
      </text>
    </comment>
    <comment ref="G48" authorId="0">
      <text>
        <r>
          <rPr>
            <b/>
            <sz val="9"/>
            <color rgb="FF000000"/>
            <rFont val="Tahoma"/>
            <family val="2"/>
            <charset val="1"/>
          </rPr>
          <t>Usuário do Windows:</t>
        </r>
        <r>
          <rPr>
            <sz val="9"/>
            <color rgb="FF000000"/>
            <rFont val="Tahoma"/>
            <family val="2"/>
            <charset val="1"/>
          </rPr>
          <t>Zerar se for optante pelo simples</t>
        </r>
      </text>
    </comment>
    <comment ref="B49" authorId="0">
      <text>
        <r>
          <rPr>
            <sz val="10"/>
            <color rgb="FF000000"/>
            <rFont val="Arial"/>
            <family val="2"/>
            <charset val="1"/>
          </rPr>
          <t>Contribuição social destinada ao financiamento da educação básica nos termos da Constituição Federal à base de 2,5%. As empresas optantes pelo Simples Nacional são isentas.</t>
        </r>
      </text>
    </comment>
    <comment ref="G49" authorId="0">
      <text>
        <r>
          <rPr>
            <b/>
            <sz val="9"/>
            <color rgb="FF000000"/>
            <rFont val="Tahoma"/>
            <family val="2"/>
            <charset val="1"/>
          </rPr>
          <t>Usuário do Windows:</t>
        </r>
        <r>
          <rPr>
            <sz val="9"/>
            <color rgb="FF000000"/>
            <rFont val="Tahoma"/>
            <family val="2"/>
            <charset val="1"/>
          </rPr>
          <t>Zerar se for optante pelo simples</t>
        </r>
      </text>
    </comment>
    <comment ref="B50" authorId="0">
      <text>
        <r>
          <rPr>
            <sz val="10"/>
            <color rgb="FF000000"/>
            <rFont val="Arial"/>
            <family val="2"/>
            <charset val="1"/>
          </rPr>
          <t>O Fundo de Garantia do Tempo de Serviço (FGTS) constitui-se em um pecúlio disponibilizado quando da aposentadoria ou morte do trabalhador e representa uma garantia para a indenização do tempo de serviço nos casos de demissão imotivada. É garantido pela Constituição Federal à base de 8%.</t>
        </r>
      </text>
    </comment>
    <comment ref="B51" authorId="0">
      <text>
        <r>
          <rPr>
            <sz val="10"/>
            <color rgb="FF000000"/>
            <rFont val="Arial"/>
            <family val="2"/>
            <charset val="1"/>
          </rPr>
          <t>Contribuição destinada a custear benefícios concedidos em razão do grau de incidência de incapacidade laborativa decorrentes dos riscos ambientais do trabalho. Pode ser estabelecido em:
SEG.ACID.TRAB. FAP X RAT ( Art. 22,II, da Lei n° 8.212/91).Alíquotas do SAT em função do FAP(Decreto n° 6.042/07 e n° 6.957/09).Fap(Anexo da RESOLUÇÃO mps/cnps n° 1.316/10)=alíquota do FAPx perc. Do SAT
Esses Perecentuais devem ser conferidos pelo pregoeiro e equipe de apoio, com base na GFIP
1% quando o risco de acidentes do trabalho for considerado leve.
2% quando o risco de acidentes do trabalho for considerado médio.
3% quando o risco de acidentes do trabalho for considerado grave.</t>
        </r>
      </text>
    </comment>
    <comment ref="G51" authorId="0">
      <text>
        <r>
          <rPr>
            <b/>
            <sz val="9"/>
            <color rgb="FF000000"/>
            <rFont val="Tahoma"/>
            <family val="2"/>
            <charset val="1"/>
          </rPr>
          <t>Usuário do Windows:</t>
        </r>
        <r>
          <rPr>
            <sz val="9"/>
            <color rgb="FF000000"/>
            <rFont val="Tahoma"/>
            <family val="2"/>
            <charset val="1"/>
          </rPr>
          <t>JURISPRUDÊNCIA - TCU (Acórdão  2.554/2010 - Primeira Câmara) 
7. Com relação aos itens de custo não cotados ou cotados a menor pela empresa vencedora do certame (como o “Seguro de Acidente de Trabalho”, a “Assistência Social Familiar Sindical”, a “Assistência Social” e os benefícios indiretos concedidos pelas empresas aos empregados),</t>
        </r>
        <r>
          <rPr>
            <b/>
            <sz val="9"/>
            <color rgb="FF000000"/>
            <rFont val="Tahoma"/>
            <family val="2"/>
            <charset val="1"/>
          </rPr>
          <t>não chegam a invalidar a proposta da licitante, mas devem ser objeto de acompanhamento pelo CBPF,</t>
        </r>
        <r>
          <rPr>
            <sz val="9"/>
            <color rgb="FF000000"/>
            <rFont val="Tahoma"/>
            <family val="2"/>
            <charset val="1"/>
          </rPr>
          <t>com a verificação do cumprimento, pela contratada, de suas obrigações trabalhistas em conformidade com a legislação, de forma a resguardar a Administração de eventual responsabilização solidária</t>
        </r>
        <r>
          <rPr>
            <b/>
            <sz val="9"/>
            <color rgb="FF000000"/>
            <rFont val="Tahoma"/>
            <family val="2"/>
            <charset val="1"/>
          </rPr>
          <t>, não podendo essas obrigações importar em eventual acréscimo contratual, considerando que a empresa tem o dever de honrar sua proposta na licitação,</t>
        </r>
        <r>
          <rPr>
            <sz val="9"/>
            <color rgb="FF000000"/>
            <rFont val="Tahoma"/>
            <family val="2"/>
            <charset val="1"/>
          </rPr>
          <t>prestando os serviços contratados pelo preço acordado entre as partes</t>
        </r>
      </text>
    </comment>
    <comment ref="B52" authorId="0">
      <text>
        <r>
          <rPr>
            <sz val="10"/>
            <color rgb="FF000000"/>
            <rFont val="Arial"/>
            <family val="2"/>
            <charset val="1"/>
          </rPr>
          <t>Contribuição social repassada ao Serviço Brasileiro de Apoio à Pequena e Média Empresa (SEBRAE), destinado a custear os programas de apoio à pequena e média empresa à base de 0,6%. As empresas optantes pelo Simples Nacional são isentas.</t>
        </r>
      </text>
    </comment>
    <comment ref="G52" authorId="0">
      <text>
        <r>
          <rPr>
            <b/>
            <sz val="9"/>
            <color rgb="FF000000"/>
            <rFont val="Tahoma"/>
            <family val="2"/>
            <charset val="1"/>
          </rPr>
          <t>Usuário do Windows:</t>
        </r>
        <r>
          <rPr>
            <sz val="9"/>
            <color rgb="FF000000"/>
            <rFont val="Tahoma"/>
            <family val="2"/>
            <charset val="1"/>
          </rPr>
          <t>Zerar se for optante pelo simples</t>
        </r>
      </text>
    </comment>
    <comment ref="G59" authorId="0">
      <text>
        <r>
          <rPr>
            <sz val="10"/>
            <color rgb="FF000000"/>
            <rFont val="Arial"/>
            <family val="2"/>
            <charset val="1"/>
          </rPr>
          <t>Pode variar conforme CCT. Sempre verificar.</t>
        </r>
      </text>
    </comment>
    <comment ref="B73" authorId="0">
      <text>
        <r>
          <rPr>
            <b/>
            <sz val="9"/>
            <color rgb="FF000000"/>
            <rFont val="Tahoma"/>
            <family val="2"/>
            <charset val="1"/>
          </rPr>
          <t>Usuário do Windows:</t>
        </r>
        <r>
          <rPr>
            <sz val="9"/>
            <color rgb="FF000000"/>
            <rFont val="Tahoma"/>
            <family val="2"/>
            <charset val="1"/>
          </rPr>
          <t>FUNDAMENTAÇÃO LEGAL - Constituição Federal de 1988 (Art. 7°, inciso XXI) - CLT (Art. 477, art. 487 a 491) - Observação (1) - Aviso Prévio Indenizado – Estudos CNJ – Resolução 98/2009  Aviso Prévio indenizado - 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término do contrato de trabalho. Cálculo ((1/12)x 0,05) x 100 =0,42%.</t>
        </r>
      </text>
    </comment>
    <comment ref="B74" authorId="0">
      <text>
        <r>
          <rPr>
            <b/>
            <sz val="9"/>
            <color rgb="FF000000"/>
            <rFont val="Tahoma"/>
            <family val="2"/>
            <charset val="1"/>
          </rPr>
          <t>Usuário do Windows:</t>
        </r>
        <r>
          <rPr>
            <sz val="9"/>
            <color rgb="FF000000"/>
            <rFont val="Tahoma"/>
            <family val="2"/>
            <charset val="1"/>
          </rPr>
          <t>aplicar o percentual do FGTS sobre o Aviso Prévio Indenizado.</t>
        </r>
        <r>
          <rPr>
            <b/>
            <sz val="9"/>
            <color rgb="FF000000"/>
            <rFont val="Tahoma"/>
            <family val="2"/>
            <charset val="1"/>
          </rPr>
          <t>Ex 8% X 0,42% = 0,03%</t>
        </r>
      </text>
    </comment>
    <comment ref="B75" authorId="0">
      <text>
        <r>
          <rPr>
            <b/>
            <sz val="9"/>
            <color rgb="FF000000"/>
            <rFont val="Tahoma"/>
            <family val="2"/>
            <charset val="1"/>
          </rPr>
          <t>Usuário do Windows:</t>
        </r>
        <r>
          <rPr>
            <sz val="9"/>
            <color rgb="FF000000"/>
            <rFont val="Tahoma"/>
            <family val="2"/>
            <charset val="1"/>
          </rPr>
          <t>FUNDAMENTAÇÃO LEGAL - Jurisprudência - TCU (Acórdão 2.217/2010 – Plenário - vide apêndice pág. 52)
49 Multa do FGTS do aviso prévio indenizado: valor da multa do FGTS indenizado (40%) + contribuição social sobre o FGTS (10%), que incide sobre a alíquota do FGTS (8%) aplicado sobre o custo de referência do aviso prévio indenizado.
 FUNDAMENTAÇÃO LEGAL - Lei nº 8.036, de 11 de maio de 1990 (Art. 18 § 1º) com redação dada pela Lei nº 9.491, de 9 de setembro de 1997. - Lei Complementar nº 110, de 29 de junho de 2001. (Art. 1°) - Observação (2) - Aviso Prévio Indenizado – Estudos CNJ – Resolução 98/2009 Multa FGTS - Rescisão sem Justa Causa: A Lei Complementar nº 110, de 29 de junho de 2001, determina multa de 50%, da soma dos depósitos do FGTS, no caso de rescisão sem justa causa. Considerando que 10% dos empregados pedem contas, essa penalidade recai sobre os 90% remanescentes. Considerando o pagamento da multa para os valores depositados relativos a salários, férias e 13º salário o cálculo dessa provisão corresponde a: 0,08 x 0,5 x 0,9 x (1 + 5/56 + 5/56 + 1/3 * 5/56) = 4,35%.</t>
        </r>
      </text>
    </comment>
    <comment ref="G75" authorId="0">
      <text>
        <r>
          <rPr>
            <b/>
            <sz val="10"/>
            <color rgb="FF000000"/>
            <rFont val="Arial"/>
            <family val="2"/>
            <charset val="1"/>
          </rPr>
          <t>1°- Não havendo conta vinculada o valor de referência estabelecido no Manual de preenchimento de planilhas do MPOG é de 4,35% APT+API.
FUNDAMENTAÇÃO LEGAL -</t>
        </r>
        <r>
          <rPr>
            <sz val="10"/>
            <color rgb="FF000000"/>
            <rFont val="Arial"/>
            <family val="2"/>
            <charset val="1"/>
          </rPr>
          <t>Lei nº 8.036, de 11 de maio de 1990 (Art. 18 § 1º) com redação dada pela Lei nº 9.491, de 9 de setembro de 1997. - Lei Complementar nº 110, de 29 de junho de 2001. (Art. 1°) -Aviso Prévio Indenizado – Estudos CNJ – Resolução 98/2009 Multa FGTS - Rescisão sem Justa Causa: A Lei Complementar nº 110, de 29 de junho de 2001, determina multa de 50%, da soma dos depósitos do FGTS, no caso de rescisão sem justa causa. Considerando que 10% dos empregados pedem contas, essa penalidade recai sobre os 90% remanescentes.Considerando o pagamento da multa para os valores depositados relativos a salários, férias e 13º salário o cálculo dessa provisão corresponde a: 0,08 x 0,5 x 0,9 x (1 + 5/56 + 5/56 + 1/3 * 5/56) = 4,35%.Onde 0,08 Corresponde ao % dop FGTS;  0,5 é os 50% da multa FGTS ; 0,9 corresponde é o percentual de funcionários que são demitidos sem justa causa;( 1 representa uma remuneração; 5/56 representa 5 meses de férias que um funcionário dentro de um periodo de 56 meses este raciocionio vale para férias e 13° e por fim 1/3 de 5/56 que é um terço constitucional de féria).
---------------------------------------------------------------------------------------------------------------------
2° Quando for exigido conta vinculada :Conforme orientações do MPOG, Quando houver conta vinculada, tanto para o Aviso Prévio Trabalhado quanto para o Aviso Prévio Indenizado, a porcentagem que irá incidir é de 5% soma dos dois avisos (API+APT) sobre o custo de referência.
E também foi orientado que está correto o raciocínio de ponderar os 5% entre o API e o APT, não precisando ser exatamente 50% pra cada. Isso dependerá das características intrínsecas de cada empresa e tipo de serviço, podendo ser definido pelo fornecedor desde que os 2 itens fechem em 5% no caso de ter conta vinculada.</t>
        </r>
      </text>
    </comment>
    <comment ref="B76" authorId="0">
      <text>
        <r>
          <rPr>
            <b/>
            <sz val="9"/>
            <color rgb="FF000000"/>
            <rFont val="Tahoma"/>
            <family val="2"/>
            <charset val="1"/>
          </rPr>
          <t>Usuário do Windows:</t>
        </r>
        <r>
          <rPr>
            <sz val="9"/>
            <color rgb="FF000000"/>
            <rFont val="Tahoma"/>
            <family val="2"/>
            <charset val="1"/>
          </rPr>
          <t>[(1 salário integral / 30 dias) x 7 dias] / 12 meses = 1,94% é o índice.Acórdão 1186/2017 Plenário (Auditoria, Relator Ministro-Substituto Augusto Sherman)
Licitação. Orçamento estimativo. Encargos sociais. Aviso prévio. Terceirização. Limite máximo. Prorrogação de contrato.
Nas licitações para contratação de mão de obra terceirizada, a Administração deve estabelecer na minuta do contrato que a parcela mensal a título de aviso prévio trabalhado será no percentualmáximo de 1,94% no primeiro ano, e, em caso de prorrogação do contrato, o percentual máximo dessa parcela será de0,194% a cada ano de prorrogação, a ser incluído por ocasião da formulação do aditivo da prorrogação do contrato, conforme a Lei 12.506/2011.</t>
        </r>
      </text>
    </comment>
    <comment ref="G82" authorId="0">
      <text>
        <r>
          <rPr>
            <sz val="10"/>
            <color rgb="FF000000"/>
            <rFont val="Arial"/>
            <family val="2"/>
            <charset val="1"/>
          </rPr>
          <t>Opnião Edilson:
A IN 05/2017, trouxe uma novidade com relação as férias, antes tinhamos calculado separado neste campo o %  das férias e em outro campo o % do (1/3) terço constitucional que no cálculo do CNJ seria 12,10%.
Mas  agora  a IN 05/2017, trouxe no submódulo 2.1 as férias e o 1/3 juntos, e repetiu o item  férias mais uma vez no Módulo 4 - como Custo de Reposição do Profissional Ausente.
Tenho visto alguns colocarem novamente o percentual de 12,10% ou 11,11%, o que no meu ponto está redondamente errado.
 O Texto da IN 05/2017 trouxe o seguinte texto:
Nota: As alíneas “A” a “F” referem-se somente ao custo que será pago ao repositor pelos dias
trabalhados</t>
        </r>
        <r>
          <rPr>
            <b/>
            <u/>
            <sz val="10"/>
            <color rgb="FF000000"/>
            <rFont val="Arial"/>
            <family val="2"/>
            <charset val="1"/>
          </rPr>
          <t>quando da necessidade de substituir</t>
        </r>
        <r>
          <rPr>
            <sz val="10"/>
            <color rgb="FF000000"/>
            <rFont val="Arial"/>
            <family val="2"/>
            <charset val="1"/>
          </rPr>
          <t>a mão de obra alocada na prestação do serviço.
Com base neste texto, até que saia o manual de preenchimento da planilha existem 2 opções:
1° Deixar em Branco: já que é novo e o valor é irrisório.
2° Calcular o percentual das férias+1 /3  + 13° salário e dividir por 12 e os seus reflexos que já seram automaticamente cáculados na letra F ( incidencia submodulo 2.1).</t>
        </r>
      </text>
    </comment>
    <comment ref="F83" authorId="0">
      <text>
        <r>
          <rPr>
            <b/>
            <sz val="9"/>
            <color rgb="FF000000"/>
            <rFont val="Tahoma"/>
            <family val="2"/>
            <charset val="1"/>
          </rPr>
          <t>Usuário do Windows:
CUSTO NÃO RENOVÁVEL :</t>
        </r>
        <r>
          <rPr>
            <sz val="9"/>
            <color rgb="FF000000"/>
            <rFont val="Tahoma"/>
            <family val="2"/>
            <charset val="1"/>
          </rPr>
          <t>VALE LEMBRAR QUE POR OCASIÃO DAS PRORROGAÇÕES DEVE SE VERIFICAR SE ESSE VALOR PROVISIONADO FOI UTILIZADO, SE NÃO FOR OU FOR UTILIZADO EM PARTES, DEVE SER RETIRADO OU COLOCADO PROPORCIONALMENTE O % UTILIZADO.</t>
        </r>
        <r>
          <rPr>
            <b/>
            <sz val="9"/>
            <color rgb="FF000000"/>
            <rFont val="Tahoma"/>
            <family val="2"/>
            <charset val="1"/>
          </rPr>
          <t>(O RACIOCÍNIO VALE PARA TODOS OS ITENS DESTA TABELA DO SUBMÓDULO 4.1)</t>
        </r>
      </text>
    </comment>
    <comment ref="G83" authorId="0">
      <text>
        <r>
          <rPr>
            <sz val="10"/>
            <color rgb="FF000000"/>
            <rFont val="Arial"/>
            <family val="2"/>
            <charset val="1"/>
          </rPr>
          <t>Ausências previstas na legislação vigente que é composta por um conjunto de casos em que o funcionário pode se ausentar sem perda da remuneração.
Considerando que o empregado tenha apenas uma falta legal durante o período de 1 ano, temos:
Cálculo:
1/360 = 0,002777 = 0,27%
Esse valor pode variar conforme dados estatísticos da empresa.</t>
        </r>
      </text>
    </comment>
    <comment ref="G84" authorId="0">
      <text>
        <r>
          <rPr>
            <sz val="10"/>
            <color rgb="FF000000"/>
            <rFont val="Arial"/>
            <family val="2"/>
            <charset val="1"/>
          </rPr>
          <t>Concede ao empregado o direito de ausentar-se do serviço por cinco dias quando do nascimento de filho. De acordo com o IBGE, nascem filhos de 1,5% dos trabalhadores no período de um ano. Dessa forma a provisão para este item corresponde a:
((5/30)/12) x 0,015 x 100 = 0,02%
Esse valor pode variar conforme dados estatísticos da empresa.</t>
        </r>
      </text>
    </comment>
    <comment ref="F85" authorId="0">
      <text>
        <r>
          <rPr>
            <b/>
            <sz val="9"/>
            <color indexed="81"/>
            <rFont val="Tahoma"/>
            <family val="2"/>
          </rPr>
          <t>UFERSA:</t>
        </r>
        <r>
          <rPr>
            <sz val="9"/>
            <color indexed="81"/>
            <rFont val="Tahoma"/>
            <family val="2"/>
          </rPr>
          <t xml:space="preserve">
O auxílio-acidente é o afastamento por mais de 15 dias do trabalho em
virtude de acidentes no exercício da atividade profissional, ou doenças adquiridas ou desencadeadas pelo exercício do trabalho ou das condições em que este é realizado e com ele se relacione diretamente. O custo estimado nessa rubrica corresponde apenas aos primeiros 15 dias, o qual é obrigação da empresa a cobertura do mesmo, sendo após 15 dias, o benefício será coberto pela Previdência Social. O percentual de 0,06% é igual ao número de dias cobertos pela empresa em um mês dentro de um ano multiplicado por 1,33%  conforme  Anuário Estatístico de Acidentes do Trabalho-2016(AEAT/INSS2016)(http://sa.previdencia.gov.br/site/2018/04/AEAT-2016.pdf). 
</t>
        </r>
      </text>
    </comment>
    <comment ref="G85" authorId="0">
      <text>
        <r>
          <rPr>
            <sz val="10"/>
            <color rgb="FF000000"/>
            <rFont val="Arial"/>
            <family val="2"/>
            <charset val="1"/>
          </rPr>
          <t>Valor do custo referente aos 15 primeiros dias em que o empregado encontra-se afastado por acidente de trabalho e a empresa contratada tem o dever de remunerá-lo. Após esse período o ônus passa a ser do INSS. De acordo com os números mais recentes apresentados pelo Ministério da Previdência e Assistência Social, baseados em informações prestadas pelos empregadores, por meio de GFIP, 0,78% dos empregados se acidentam no ano. Assim, a provisão corresponde a:
((15/30)/12) x 0,0078 x 100 = 0,03%
Esse valor pode variar conforme dados estatísticos da empresa.</t>
        </r>
      </text>
    </comment>
    <comment ref="B87" authorId="0">
      <text>
        <r>
          <rPr>
            <b/>
            <sz val="9"/>
            <color rgb="FF000000"/>
            <rFont val="Tahoma"/>
            <family val="2"/>
            <charset val="1"/>
          </rPr>
          <t>Usuário do Windows:</t>
        </r>
        <r>
          <rPr>
            <sz val="9"/>
            <color rgb="FF000000"/>
            <rFont val="Tahoma"/>
            <family val="2"/>
            <charset val="1"/>
          </rPr>
          <t>Esse item (Ausência por doença), foi exlcuido do modelo de tabela da IN05/2017, mas não foi dito o motivo, nem mesmo se deveria ser computado por exemplo com o item Ausências Legais,</t>
        </r>
        <r>
          <rPr>
            <b/>
            <sz val="9"/>
            <color rgb="FF000000"/>
            <rFont val="Tahoma"/>
            <family val="2"/>
            <charset val="1"/>
          </rPr>
          <t>enquanto não sai o manual de prenchimento de planilha</t>
        </r>
        <r>
          <rPr>
            <sz val="9"/>
            <color rgb="FF000000"/>
            <rFont val="Tahoma"/>
            <family val="2"/>
            <charset val="1"/>
          </rPr>
          <t>prometido pelo Ministério do Planejamento acho prudente continuar usando o percentual por se tratar do mais impactante na planilha de custos.</t>
        </r>
      </text>
    </comment>
    <comment ref="G87" authorId="0">
      <text>
        <r>
          <rPr>
            <sz val="10"/>
            <color rgb="FF000000"/>
            <rFont val="Arial"/>
            <family val="2"/>
            <charset val="1"/>
          </rPr>
          <t>Esta parcela refere-se aos dias em que o empregado fica doente e a contratada deve providenciar sua substituição. Entendemos que deva ser adotado 5,96 dias, conforme consta no memorial de cálculo encaminhado pelo MP, devendo-se converter esses dias em mês e depois dividi-lo pelo número de meses no ano. (Acórdão 1753/2008 – Plenário TCU)
Cálculo:
(5,96/30)/12 x 100 = 1,66%;
Esse valor pode variar conforme dados estatísticos da empresa.</t>
        </r>
      </text>
    </comment>
    <comment ref="B93" authorId="0">
      <text>
        <r>
          <rPr>
            <b/>
            <sz val="9"/>
            <color rgb="FF000000"/>
            <rFont val="Tahoma"/>
            <family val="2"/>
            <charset val="1"/>
          </rPr>
          <t>Usuário do Windows:</t>
        </r>
        <r>
          <rPr>
            <sz val="9"/>
            <color rgb="FF000000"/>
            <rFont val="Tahoma"/>
            <family val="2"/>
            <charset val="1"/>
          </rPr>
          <t>Texto extraído da IN 05/2017 
Nota: Quando houver a necessidade de reposição de um empregado durante sua ausência nos casos de intervalo para repouso ou alimentação deve-se contemplar o Submódulo 4.2.</t>
        </r>
      </text>
    </comment>
    <comment ref="B107" authorId="0">
      <text>
        <r>
          <rPr>
            <b/>
            <sz val="9"/>
            <color rgb="FF000000"/>
            <rFont val="Tahoma"/>
            <family val="2"/>
            <charset val="1"/>
          </rPr>
          <t>Usuário do Windows:</t>
        </r>
        <r>
          <rPr>
            <sz val="9"/>
            <color rgb="FF000000"/>
            <rFont val="Tahoma"/>
            <family val="2"/>
            <charset val="1"/>
          </rPr>
          <t> Definição
Correspondem aos dispêndios relativos aos custos indiretos, tributos e lucros. Na metodologia de cálculo dos valores limites é denominado CITL.</t>
        </r>
      </text>
    </comment>
    <comment ref="F108" authorId="0">
      <text>
        <r>
          <rPr>
            <b/>
            <sz val="9"/>
            <color rgb="FF000000"/>
            <rFont val="Tahoma"/>
            <family val="2"/>
            <charset val="1"/>
          </rPr>
          <t>Usuário do Windows:
Texto extraído do Manual de preenchimento de Planilha MPOG 2011</t>
        </r>
        <r>
          <rPr>
            <sz val="9"/>
            <color rgb="FF000000"/>
            <rFont val="Tahoma"/>
            <family val="2"/>
            <charset val="1"/>
          </rPr>
          <t>Nota Explicativa: 
Custos indiretos: são os gastos da contratada com sua estrutura administrativa, organizacional e gerenciamento de seus contratos, tais como as despesas relativas a: a) funcionamento e manutenção da sede, tais como aluguel, água, luz, telefone, o Imposto Predial Territorial Urbano – IPTU, dentre outros; b) pessoal administrativo; c) material e equipamentos de escritório; d) supervisão de serviços;  e) seguros.
 -</t>
        </r>
        <r>
          <rPr>
            <b/>
            <sz val="9"/>
            <color rgb="FF000000"/>
            <rFont val="Tahoma"/>
            <family val="2"/>
            <charset val="1"/>
          </rPr>
          <t>Observação (1) -  No cálculo dos valores limites para os serviços de vigilância e limpeza foram estabelecidos os percentuais de 6% e 3% respectivamente</t>
        </r>
        <r>
          <rPr>
            <sz val="9"/>
            <color rgb="FF000000"/>
            <rFont val="Tahoma"/>
            <family val="2"/>
            <charset val="1"/>
          </rPr>
          <t>. Os custos indiretos são calculados mediante incidência daqueles percentuais sobre o somatório da remuneração, benefícios mensais e diários, insumos diversos, encargos sociais e trabalhistas.</t>
        </r>
        <r>
          <rPr>
            <b/>
            <sz val="12"/>
            <color rgb="FFFF0000"/>
            <rFont val="Tahoma"/>
            <family val="2"/>
            <charset val="1"/>
          </rPr>
          <t>Na verdade o esse texto traz arredondamentos, sendo que a Margem de lucro definida em estudo na Caderno de Limpeza do MPOG 2014 é</t>
        </r>
        <r>
          <rPr>
            <b/>
            <sz val="12"/>
            <color rgb="FF000000"/>
            <rFont val="Tahoma"/>
            <family val="2"/>
            <charset val="1"/>
          </rPr>
          <t>de 6,79% para Lucro e 3% para Custos Indiretos</t>
        </r>
        <r>
          <rPr>
            <b/>
            <sz val="12"/>
            <color rgb="FFFF0000"/>
            <rFont val="Tahoma"/>
            <family val="2"/>
            <charset val="1"/>
          </rPr>
          <t>, para os serviços de Vigilância e limpeza</t>
        </r>
        <r>
          <rPr>
            <sz val="9"/>
            <color rgb="FF000000"/>
            <rFont val="Tahoma"/>
            <family val="2"/>
            <charset val="1"/>
          </rPr>
          <t>________________________________________________________________________________________________________________</t>
        </r>
        <r>
          <rPr>
            <b/>
            <sz val="9"/>
            <color rgb="FF000000"/>
            <rFont val="Tahoma"/>
            <family val="2"/>
            <charset val="1"/>
          </rPr>
          <t>IN nº 05/17 – anexo vii-a</t>
        </r>
        <r>
          <rPr>
            <sz val="9"/>
            <color rgb="FF000000"/>
            <rFont val="Tahoma"/>
            <family val="2"/>
            <charset val="1"/>
          </rPr>
          <t>9.2  Consideram-se preços manifestamente inexeqüíveis aqueles que, comprovadamente, forem insuficientes para a cobertura dos custos decorrentes da contratação pretendida.
9.3 A inexeqüibilidade dos valores referentes a itens isolados da planilha de custos  e formação de preços não caracteriza motivo suficiente para a desclassificação da proposta, , desde que não contrariem exigências legais.
9.4 Se houver indícios de inexequibilidade da proposta de preço, ou em caso da necessidade de esclarecimentos complementares, poderá ser efetuada diligência, na forma do § 3° do art. 43 da Lei n° 8.666, de 1993, para efeito de comprovação de sua exequibilidade, podendo ser adotado, dentre outros, os seguintes procedimentos:
questionamentos junto à proponente para a apresentação de justificativas e comprovações em relação aos custos com indícios de inexequibilidade;verificação de Acordos, Convenções ou Dissídios Coletivos de Trabalho;levantamento de informações junto ao Ministério do Trabalho; consultas a entidades ou conselhos de classe, sindicatos ou similares; pesquisas em órgãos públicos ou empresas privadas verificação de outros contratos que o proponente mantenha com a Administração ou com a iniciativa privada;pesquisa de preço com fornecedores dos insumos utilizados, tais como: atacadistas, lojas de suprimentos,supermercados e fabricantes;verificação de notas fiscais dos produtos adquiridos pelo proponente;
levantamento de indicadores salariais ou trabalhistas publicados por órgãos de pesquisa;estudos setoriais;consultas às Fazendas Federal, Distrital, Estadual ou Municipal; eanálise de soluções técnicas escolhidas e/ou condições excepcionalmente favoráveis que o proponente disponha para a prestação dos serviços.
9.5 Qualquer interessado poderá requerer que se realizem diligências para aferir a exequibilidade e a legalidade das propostas, devendo apresentar as provas ou os indícios que fundamentam o pedido;
9.6 Quando o licitante apresentar</t>
        </r>
        <r>
          <rPr>
            <b/>
            <sz val="9"/>
            <color rgb="FF000000"/>
            <rFont val="Tahoma"/>
            <family val="2"/>
            <charset val="1"/>
          </rPr>
          <t>preço final inferior a 30% da média dos preços ofertados</t>
        </r>
        <r>
          <rPr>
            <sz val="9"/>
            <color rgb="FF000000"/>
            <rFont val="Tahoma"/>
            <family val="2"/>
            <charset val="1"/>
          </rPr>
          <t>para o mesmo item, e a inexequibilidade da proposta não for flagrante e evidente pela análise da planilha de custos e formação de preços,</t>
        </r>
        <r>
          <rPr>
            <b/>
            <sz val="9"/>
            <color rgb="FF000000"/>
            <rFont val="Tahoma"/>
            <family val="2"/>
            <charset val="1"/>
          </rPr>
          <t>não sendo possível a sua imediata desclassificaçã</t>
        </r>
        <r>
          <rPr>
            <sz val="9"/>
            <color rgb="FF000000"/>
            <rFont val="Tahoma"/>
            <family val="2"/>
            <charset val="1"/>
          </rPr>
          <t>o, será obrigatória a realização de diligências para aferir a legalidade e exequibilidade da proposta.
________________________________________________________________________________________________________________</t>
        </r>
        <r>
          <rPr>
            <b/>
            <sz val="9"/>
            <color rgb="FF000000"/>
            <rFont val="Tahoma"/>
            <family val="2"/>
            <charset val="1"/>
          </rPr>
          <t>TCU –Acórdão nº 1.214/2013 – Plenário
III.H percentuais mínimos aceitáveis para encargos sociais e ldi</t>
        </r>
        <r>
          <rPr>
            <sz val="9"/>
            <color rgb="FF000000"/>
            <rFont val="Tahoma"/>
            <family val="2"/>
            <charset val="1"/>
          </rPr>
          <t>219. Do mesmo modo, lucro, como se sabe, pode ser maximizado com uma boa gestão de mão de obra, mas não se deve abrir mão de um mínimo aceitável, pois não é crível que prestadores de serviços estejam dispostos a trabalharem de graça para o erário. Não fixar lucro mínimo é um incentivo para que as empresas avancem sobre outras verbas, como direitos trabalhistas, tributos e contribuições compulsórias, como tem sido praxe.
220. Também as despesas administrativas, devem ser objeto de análise pela administração, pois não é razoável que a empresa não possua esse gasto. No entanto, é aceitável que existam justificativas para reduzí-lo ou eliminá-lo, por exemplo, que a empresa administre muitos contratos, ou que se trate de uma empresa familiar, mas para isso a empresa necessite apresenta-las.
_______________________________________________________________________________________________________________</t>
        </r>
        <r>
          <rPr>
            <b/>
            <sz val="9"/>
            <color rgb="FF000000"/>
            <rFont val="Tahoma"/>
            <family val="2"/>
            <charset val="1"/>
          </rPr>
          <t>Mas em outro acordão o TCU definiu que  os % são livres para serem definidos por cada fornecedor:
(Acórdão 325/2007-TCU-Plenário).Não há vedação legalà atuação, por parte de empresas contratadas pela Administração Pública Federal,sem margem de lucro ou com margem de lucro mínima, pois tal fato depende da estratégia comercial da empresa e não conduz, necessariamente, à inexecução da proposta.
___________________________________________________________________________________________________Outro Acórdão que parece trazer certa solução, estabelece que os percentuais mínimos devem ser estabelecidos em Edital.A desclassificação de proposta por inexequibilidade deve ser objetivamente demonstrada, a partir de critérios previamente publicados (Acórdãos 2.528/2012 e 1.092/2013, ambos do Plenário).
Vale destacar que a questão foi abordada no Acórdão nº 1.214/13-Plenário, em sede de representação formulada a partir de trabalho realizado por grupo de estudos, constituído com o objetivo de apresentar proposições de melhorias nos procedimentos relativos à terceirização de serviços continuados na Administração Pública Federal. Um dos problemas apontados naquela ocasião foi justamente a dificuldade enfrentada pela Administração no exame de exequibilidade das propostas, em razão da ausência de parâmetros seguros de análise.
De acordo coma conclusão do grupo, “(…)os editais deveriam consignar expressamente as condições mínimas para que as propostas sejam consideradas exequíveis, proibindo propostas com lucro e despesas administrativas iguais a zero, entre outros, em razão de esse percentual englobar os impostos e contribuições não repercutíveis (IR, CSLL). Registre-se que o grupo não determinou quais seriam as condições mínimas ideais, de modo que deverá ser realizado estudo para determiná-las e, assim, possibilitar a implementação dessa proposta.”________________________________________________________________________________________________________________</t>
        </r>
      </text>
    </comment>
    <comment ref="F109" authorId="0">
      <text>
        <r>
          <rPr>
            <sz val="10"/>
            <color rgb="FF000000"/>
            <rFont val="Arial"/>
            <family val="2"/>
            <charset val="1"/>
          </rPr>
          <t>(Acórdão 325/2007-TCU-Plenário).</t>
        </r>
        <r>
          <rPr>
            <b/>
            <sz val="10"/>
            <color rgb="FF000000"/>
            <rFont val="Arial"/>
            <family val="2"/>
            <charset val="1"/>
          </rPr>
          <t>Não há vedação legal</t>
        </r>
        <r>
          <rPr>
            <sz val="10"/>
            <color rgb="FF000000"/>
            <rFont val="Arial"/>
            <family val="2"/>
            <charset val="1"/>
          </rPr>
          <t>à atuação, por parte de empresas contratadas pela Administração Pública Federal,</t>
        </r>
        <r>
          <rPr>
            <b/>
            <sz val="10"/>
            <color rgb="FF000000"/>
            <rFont val="Arial"/>
            <family val="2"/>
            <charset val="1"/>
          </rPr>
          <t>sem margem de lucro ou com margem de lucro mínima</t>
        </r>
        <r>
          <rPr>
            <sz val="10"/>
            <color rgb="FF000000"/>
            <rFont val="Arial"/>
            <family val="2"/>
            <charset val="1"/>
          </rPr>
          <t>, pois tal fato depende da estratégia comercial da empresa e não conduz, necessariamente, à inexecução da proposta
2. A desclassificação de proposta por inexequibilidade deve ser objetivamente demonstrada, a partir de critérios previamente publicados (Acórdãos 2.528/2012 e 1.092/2013, ambos do Plenário)
------------------------------------------------------------------------------------------------------------------------------------------
Mas em outro acórdão o TCU deliberou o seguinte:
Vale destacar que a questão foi abordada no Acórdão nº 1.214/13-Plenário, em sede de representação formulada a partir de trabalho realizado por grupo de estudos, constituído com o objetivo de apresentar proposições de melhorias nos procedimentos relativos à terceirização de serviços continuados na Administração Pública Federal. Um dos problemas apontados naquela ocasião foi justamente a dificuldade enfrentada pela Administração no exame de exequibilidade das propostas, em razão da ausência de parâmetros seguros de análise.
De acordo coma conclusão do grupo, “(…)</t>
        </r>
        <r>
          <rPr>
            <b/>
            <sz val="10"/>
            <color rgb="FF000000"/>
            <rFont val="Arial"/>
            <family val="2"/>
            <charset val="1"/>
          </rPr>
          <t>os editais deveriam consignar expressamente as condições mínimas para que as propostas sejam consideradas exequíveis, proibindo propostas com lucro e despesas administrativas iguais a zero</t>
        </r>
        <r>
          <rPr>
            <sz val="10"/>
            <color rgb="FF000000"/>
            <rFont val="Arial"/>
            <family val="2"/>
            <charset val="1"/>
          </rPr>
          <t>, entre outros, em razão de esse percentual englobar os impostos e contribuições não repercutíveis (IR, CSLL). Registre-se que o grupo não determinou quais seriam as condições mínimas ideais, de modo que deverá ser realizado estudo para determiná-las e, assim, possibilitar a implementação dessa proposta.”
------------------------------------------------------------------------------------------------------------------------------------------</t>
        </r>
        <r>
          <rPr>
            <b/>
            <sz val="10"/>
            <color rgb="FFFF0000"/>
            <rFont val="Arial"/>
            <family val="2"/>
            <charset val="1"/>
          </rPr>
          <t>Conclusão:
Melhor solução, estabelecer nos Editais com base em estudos percentuais minímos de lucros e custos indiretos</t>
        </r>
      </text>
    </comment>
    <comment ref="G112" authorId="0">
      <text>
        <r>
          <rPr>
            <sz val="10"/>
            <color rgb="FF000000"/>
            <rFont val="Arial"/>
            <family val="2"/>
            <charset val="1"/>
          </rPr>
          <t>Empresas Lucro Presumido:
PIS: 0,65% / COFINS: 3,00%
Empresas Lucro Real:
PIS: 1,65% / COFINS: 7,60%
Para as empresas optantes pelo Simples Nacional, a tributação varia conforme o faturamento mensal.
Soma-se os módulo 1,2,3,4,5, bem como os Custos Indiretos e o Lucro. Em seguida divide-se pelo Fator de Divisão, conforme a tributação aplicada (presumido,real,SIMPLES). Dessa forma, encontra-se o faturamento o qual incidirá a alíquota do PIS (PRESUMIDO).</t>
        </r>
      </text>
    </comment>
    <comment ref="G113" authorId="0">
      <text>
        <r>
          <rPr>
            <sz val="10"/>
            <color rgb="FF000000"/>
            <rFont val="Arial"/>
            <family val="2"/>
            <charset val="1"/>
          </rPr>
          <t>Empresas Lucro Presumido:
PIS: 0,65% / COFINS: 3,00%
Empresas Lucro Real:
PIS: 1,65% / COFINS: 7,60%
Para as empresas optantes pelo Simples Nacional, a tributação varia conforme o faturamento mensal.
Soma-se os módulo 1,2,3,4,5, bem como os Custos Indiretos e o Lucro. Em seguida divide-se pelo Fator de Divisão, conforme a tributação aplicada (presumido,real,SIMPLES). Dessa forma, encontra-se o faturamento o qual incidirá a alíquota do COFINS (PRESUMIDO).</t>
        </r>
      </text>
    </comment>
    <comment ref="G115" authorId="0">
      <text>
        <r>
          <rPr>
            <sz val="10"/>
            <color rgb="FF000000"/>
            <rFont val="Arial"/>
            <family val="2"/>
            <charset val="1"/>
          </rPr>
          <t>SANTOS DUMONT 3% (PODE VARIAR CONFORME MUNICÍPIO)
ALÍQUOTAS  SIMPLES, CONFORME TABELA A SEGUIR:
Antigo Anexo III do Simples Nacional (alterada em 2018)
Receita Bruta em 12 meses (em R$)	Alíquota Total	IRPJ	CSLL	COFINS	PIS	CPP	ISS
De R$ 0,00 a R$ 180.000,00            	6,00%	0,00%	0,00%	0,00%	0,00%	4,00%	2,00%
De R$ 180.000,01 a R$ 360.000,00 	8,21%	0,00%	0,00%	1,42%	0,00%	4,00%	2,79%
De R$ 360.000,01 a R$ 540.000,00 	10,26%	0,48%	0,43%	1,43%	0,35%	4,07%	3,50%
De R$ 540.000,01 a R$ 720.000,00 	11,31%	0,53%	0,53%	1,56%	0,38%	4,47%	3,84%
De R$ 720.000,01 a R$ 900.000,00 	11,40%	0,53%	0,52%	1,58%	0,38%	4,52%	3,87%
De R$ 900.000,01 a R$ 1.080.000,00 	12,42%	0,57%	0,57%	1,73%	0,40%	4,92%	4,23%
De R$ 1.080.000,01 a R$ 1.260.000,00 	12,54%	0,59%	0,56%	1,74%	0,42%	4,97%	4,26%
De R$ 1.260.000,01 a R$ 1.440.000,00 	12,68%	0,59%	0,57%	1,76%	0,42%	5,03%	4,31%
De R$ 1.440.000,01 a R$ 1.620.000,00 	13,55%	0,63%	0,61%	1,88%	0,45%	5,37%	4,61%
De R$ 1.620.000,01 a R$ 1.800.000,00 	13,68%	0,63%	0,64%	1,89%	0,45%	5,42%	4,65%
De R$ 1.800.000,01 a R$ 1.980.000,00 	14,93%	0,69%	0,69%	2,07%	0,50%	5,98%	5,00%
De R$ 1.980.000,01 a R$ 2.160.000,00 	15,06%	0,69%	0,69%	2,09%	0,50%	6,09%	5,00%
De R$ 2.160.000,01 a R$ 2.340.000,00 	15,20%	0,71%	0,70%	2,10%	0,50%	6,19%	5,00%
De R$ 2.340.000,01 a R$ 2.520.000,00 	15,35%	0,71%	0,70%	2,13%	0,51%	6,30%	5,00%
De R$ 2.520.000,01 a R$ 2.700.000,00 	15,48%	0,72%	0,70%	2,15%	0,51%	6,40%	5,00%
De R$ 2.700.000,01 a R$ 2.880.000,00 	16,85%	0,78%	0,76%	2,34%	0,56%	7,41%	5,00%
De R$ 2.880.000,01 a R$ 3.060.000,00 	16,98%	0,78%	0,78%	2,36%	0,56%	7,50%	5,00%
De R$ 3.060.000,01 a R$ 3.240.000,00 	17,13%	0,80%	0,79%	2,37%	0,57%	7,60%	5,00%
De R$ 3.240.000,01 a R$ 3.420.000,00 	17,27%	0,80%	0,79%	2,40%	0,57%	7,71%	5,00%
De R$ 3.420.000,01 a R$ 3.600.000,00 	17,42%	0,81%	0,79%	2,42%	0,57%	7,83%	5,00%</t>
        </r>
        <r>
          <rPr>
            <b/>
            <sz val="10"/>
            <color rgb="FF000000"/>
            <rFont val="Arial"/>
            <family val="2"/>
            <charset val="1"/>
          </rPr>
          <t>É aconselhável buscar auxilio do setor contábil do órgão para aferição dos tributos.</t>
        </r>
      </text>
    </comment>
    <comment ref="B132" authorId="0">
      <text>
        <r>
          <rPr>
            <sz val="10"/>
            <color rgb="FF000000"/>
            <rFont val="Arial"/>
            <family val="2"/>
            <charset val="1"/>
          </rPr>
          <t>Serviços de Limpeza devem usar o Quadro 6 da Planilha modelo da IN  05/2017 ( esta planilha já está configurada na aba por M²).
Serviços de Vigilância devem usar o quadro 5 da  da Planilha modelo da IN  05/2017</t>
        </r>
      </text>
    </comment>
  </commentList>
</comments>
</file>

<file path=xl/comments9.xml><?xml version="1.0" encoding="utf-8"?>
<comments xmlns="http://schemas.openxmlformats.org/spreadsheetml/2006/main">
  <authors>
    <author>Autor</author>
  </authors>
  <commentList>
    <comment ref="A3" authorId="0">
      <text>
        <r>
          <rPr>
            <sz val="10"/>
            <color rgb="FF000000"/>
            <rFont val="Arial"/>
            <family val="2"/>
            <charset val="1"/>
          </rPr>
          <t>ESSAS INFORMAÇÕES DEVEM SER REPASSADAS VIA EMAIL PELO SETOR DE LICITAÇÃO</t>
        </r>
      </text>
    </comment>
    <comment ref="H27" authorId="0">
      <text>
        <r>
          <rPr>
            <sz val="10"/>
            <color rgb="FF000000"/>
            <rFont val="Arial"/>
            <family val="2"/>
            <charset val="1"/>
          </rPr>
          <t>COLOCAR O VALOR DA CCT MAS DEIXAR ABERTO PARA FORNECEDOR ALTERAR “ SÓ PODE SER MAIOR QUE A CCT”</t>
        </r>
      </text>
    </comment>
    <comment ref="B28" authorId="0">
      <text>
        <r>
          <rPr>
            <sz val="10"/>
            <color rgb="FF000000"/>
            <rFont val="Arial"/>
            <family val="2"/>
            <charset val="1"/>
          </rPr>
          <t>Previsto em legislação ou acordo coletivo para trabalhos que impliquem em condições de risco à saúde ou integridade física do trabalhador.
30% sobre o salário base.</t>
        </r>
      </text>
    </comment>
    <comment ref="D28" authorId="0">
      <text>
        <r>
          <rPr>
            <sz val="10"/>
            <color rgb="FF000000"/>
            <rFont val="Arial"/>
            <family val="2"/>
            <charset val="1"/>
          </rPr>
          <t>Selecionar:
*Com Periculosidade
* Sem Periculosidade</t>
        </r>
      </text>
    </comment>
    <comment ref="E28" authorId="0">
      <text>
        <r>
          <rPr>
            <sz val="10"/>
            <color rgb="FF000000"/>
            <rFont val="Arial"/>
            <family val="2"/>
            <charset val="1"/>
          </rPr>
          <t>Selecionar 0% quando não houver Periculosidade e 30% quando incidir</t>
        </r>
      </text>
    </comment>
    <comment ref="B29" authorId="0">
      <text>
        <r>
          <rPr>
            <sz val="10"/>
            <color rgb="FF000000"/>
            <rFont val="Arial"/>
            <family val="2"/>
            <charset val="1"/>
          </rPr>
          <t>O salário de referência para cálculo do seu custo é o salário mínimo estadual ou o nacional ou o salário normativo da categoria se expressamente estabelecido no acordo ou convenção coletiva.
São operações que, por sua natureza, condições ou métodos de trabalho, exponham os empregados a agentes nocivos à saúde, acima dos limites de tolerância fixados em razão da natureza e da intensidade do agente e do tempo de exposição aos seus efeitos. (Art. 189, CLT)
Grau máximo: 40%;
Grau médio: 20%;
Grau mínimo: 10%.</t>
        </r>
      </text>
    </comment>
    <comment ref="B31" authorId="0">
      <text>
        <r>
          <rPr>
            <sz val="10"/>
            <color rgb="FF000000"/>
            <rFont val="Arial"/>
            <family val="2"/>
            <charset val="1"/>
          </rPr>
          <t>Verificar as auterações trazidas pela Reforma Trabalhista – Á principio aguardar as Novas CCT´s
Conferido ao trabalhador por trabalho executado entre as 22 horas de um dia e as 5 horas do dia seguinte.
Remunerado com adicional de, pelo menos, 20% sobre a hora diurna.
Adicional noturno para 1 hora trabalhada = Valor da hora diurna X 20%
Valor da hora diurna = Salário base / Total de horas trabalhadas no mês
O total de horas trabalhadas no mês calcula-se considerando 5 semanas de trabalho, conforme determinação do MTE.
Exemplo:
Salário: R$2.200,00
Valor da hora diurna: 2.200,00 / 220 horas (jornada de 44 horas semanais) = R$10,00
Adicional noturno para 1 hora trabalhada = 10,00 X 20% = R$2,00</t>
        </r>
      </text>
    </comment>
    <comment ref="D31" authorId="0">
      <text>
        <r>
          <rPr>
            <sz val="10"/>
            <color rgb="FF000000"/>
            <rFont val="Arial"/>
            <family val="2"/>
            <charset val="1"/>
          </rPr>
          <t>Selecionar entre:
Mínimo
Médio 
Máximo
Sem Insalubridade</t>
        </r>
      </text>
    </comment>
    <comment ref="E31" authorId="0">
      <text>
        <r>
          <rPr>
            <sz val="10"/>
            <color rgb="FF000000"/>
            <rFont val="Arial"/>
            <family val="2"/>
            <charset val="1"/>
          </rPr>
          <t>Selecionar entre:
0%
10%
20%
40%
E o valor da Insalubridade será calculado sobre o valor da salário</t>
        </r>
      </text>
    </comment>
    <comment ref="F31" authorId="0">
      <text>
        <r>
          <rPr>
            <sz val="10"/>
            <color rgb="FF000000"/>
            <rFont val="Arial"/>
            <family val="2"/>
            <charset val="1"/>
          </rPr>
          <t>Digitar valo do Salário Mínimo ou o da Categoria se expressamente estabelecido em Convenção Coletiva</t>
        </r>
      </text>
    </comment>
    <comment ref="B32" authorId="0">
      <text>
        <r>
          <rPr>
            <sz val="10"/>
            <color rgb="FF000000"/>
            <rFont val="Arial"/>
            <family val="2"/>
            <charset val="1"/>
          </rPr>
          <t>Corresponde a 52 minutos e 30 segundos.
A hora noturna adicional corresponde à diferença da hora noturna menos a hora normal.
Hora noturna = Hora normal X (60/52,5)
Hora noturna = Hora normal X 1,14285714
Exemplo:
Salário: R$2.200,00
Valor da hora diurna: 2.200,00 / 220 horas (jornada de 44 horas semanais) = R$10,00
Hora noturna = 10,00 X 1,14285714 = R$11,42
Hora noturna adicional = Hora noturna – Hora normal
Hora noturna adicional = (11,42 X 20%) - (R$10,00 X 20%) = 2,286 – 2,00 = 0,286</t>
        </r>
      </text>
    </comment>
    <comment ref="H33" authorId="0">
      <text>
        <r>
          <rPr>
            <b/>
            <sz val="9"/>
            <color indexed="81"/>
            <rFont val="Tahoma"/>
            <family val="2"/>
          </rPr>
          <t>UFERSA:O adicional noturno influenciará no repouso semanal remunerado, portando para compensar o descanso semanal decorrente do labor noturno, o empregado também terá reflexo em seu descanso remunerado de adicional noturno.  Em decorrência do valor do posto ser mensal, ou seja de um mês qualquer, os dias úteis, domingos e feriados foram tomados como uma média mensal dentro de um período de um ano (2018). Adotamos como o fator multiplicador de 0,229 , igual à (1/média de dias úteis 2018)xmédia de feriados e domingos em  2018.</t>
        </r>
        <r>
          <rPr>
            <sz val="9"/>
            <color indexed="81"/>
            <rFont val="Tahoma"/>
            <family val="2"/>
          </rPr>
          <t xml:space="preserve">
</t>
        </r>
      </text>
    </comment>
    <comment ref="B35" authorId="0">
      <text>
        <r>
          <rPr>
            <sz val="10"/>
            <color rgb="FF000000"/>
            <rFont val="Arial"/>
            <family val="2"/>
            <charset val="1"/>
          </rPr>
          <t>Relativo ao trabalho realizado além da jornada diária regular estabelecida, com acréscimo de no mínimo 50% do valor da hora normal para trabalho extra (entre segunda e sábado) e de 100% em domingos e feriados.
Não pode ser maior do que 2 horas diárias. (Art. 59, CLT)</t>
        </r>
      </text>
    </comment>
    <comment ref="B41" authorId="0">
      <text>
        <r>
          <rPr>
            <b/>
            <sz val="10"/>
            <color rgb="FF000000"/>
            <rFont val="Arial"/>
            <family val="2"/>
            <charset val="1"/>
          </rPr>
          <t>Cálculo de acordo com o Manual para preenchimento de Planilha do MPOG de 2011</t>
        </r>
        <r>
          <rPr>
            <sz val="10"/>
            <color rgb="FF000000"/>
            <rFont val="Arial"/>
            <family val="2"/>
            <charset val="1"/>
          </rPr>
          <t>Considerando que na duração do contrato de 60 meses o empregado tem 5 meses de férias e labora em 56 meses:
(5/56) x 100 = 8,93%;</t>
        </r>
        <r>
          <rPr>
            <b/>
            <sz val="10"/>
            <color rgb="FF000000"/>
            <rFont val="Arial"/>
            <family val="2"/>
            <charset val="1"/>
          </rPr>
          <t>Cálculo de acordo com o Caderno de Logistica/ Serviços de limpeza  MPOG de 2014</t>
        </r>
        <r>
          <rPr>
            <sz val="10"/>
            <color rgb="FF000000"/>
            <rFont val="Arial"/>
            <family val="2"/>
            <charset val="1"/>
          </rPr>
          <t>Para os contratos de 1 ano (12 meses) o empregado trabalha 12 meses e tem direito a 1 mês de férias, o que significa:
(1/12) x 100 = 8,33%.
Por derradeiro a IN 05/2017, trouxe o seguinte texto
Nota 1: Como a planilha de custos e formação de preços é calculada mensalmente, provisiona-se
proporcionalmente 1/12 (um doze avos) dos valores referentes a gratificação natalina e adicional
de férias.</t>
        </r>
        <r>
          <rPr>
            <b/>
            <sz val="10"/>
            <color rgb="FF000000"/>
            <rFont val="Arial"/>
            <family val="2"/>
            <charset val="1"/>
          </rPr>
          <t>( No meu entendimento definiu que o percentual do 13° é de 8,33% ), 
MAS É NECESSÁRIO ESPERAR SAIR O MANUAL DE PREENCHIMENTO DA PLANILHA, TÃO PROMETIDO PARA  SE BATER O MARTELO, POIS COSTUMA UMA PUBLICAÇÃO NÃO BATER COM A OUTRA, SÓ PARA VARIAR.</t>
        </r>
      </text>
    </comment>
    <comment ref="G41" authorId="0">
      <text>
        <r>
          <rPr>
            <b/>
            <sz val="9"/>
            <color rgb="FF000000"/>
            <rFont val="Tahoma"/>
            <family val="2"/>
            <charset val="1"/>
          </rPr>
          <t>Usuário do Windows:</t>
        </r>
        <r>
          <rPr>
            <sz val="9"/>
            <color rgb="FF000000"/>
            <rFont val="Tahoma"/>
            <family val="2"/>
            <charset val="1"/>
          </rPr>
          <t>8,33% ou 8,93% Ler comentário na descrição do item 13º SALÁRIO ao lado</t>
        </r>
      </text>
    </comment>
    <comment ref="B42" authorId="0">
      <text>
        <r>
          <rPr>
            <sz val="10"/>
            <color rgb="FF000000"/>
            <rFont val="Arial"/>
            <family val="2"/>
            <charset val="1"/>
          </rPr>
          <t>.( Art. 129,Art. 130, inciso I da CLT e Art. 7° , inciso XCII da CF/88 [=(1/12)+(1/3)/12]</t>
        </r>
        <r>
          <rPr>
            <b/>
            <sz val="10"/>
            <color rgb="FF000000"/>
            <rFont val="Arial"/>
            <family val="2"/>
            <charset val="1"/>
          </rPr>
          <t>Quando é retido a conta vinculada o calculo deve ser [</t>
        </r>
        <r>
          <rPr>
            <sz val="10"/>
            <color rgb="FF000000"/>
            <rFont val="Arial"/>
            <family val="2"/>
            <charset val="1"/>
          </rPr>
          <t>=(1/11)+(1/3/11) que dá os 12,10% retidos na conta vinculada (calculo CNJ).
A IN 05/2017, trouxe o seguinte texto com relação ao módulo 2.1
Nota 1: Como a planilha de custos e formação de preços é calculada mensalmente, provisiona-se
proporcionalmente 1/12 (um doze avos) dos valores referentes a gratificação natalina e adicional
de férias.</t>
        </r>
        <r>
          <rPr>
            <b/>
            <sz val="10"/>
            <color rgb="FF000000"/>
            <rFont val="Arial"/>
            <family val="2"/>
            <charset val="1"/>
          </rPr>
          <t>( No meu entendimento definiu que o percentual do 13° é de 8,33% ),</t>
        </r>
        <r>
          <rPr>
            <b/>
            <u/>
            <sz val="10"/>
            <color rgb="FF000000"/>
            <rFont val="Arial"/>
            <family val="2"/>
            <charset val="1"/>
          </rPr>
          <t>MAS É NECESSÁRIO ESPERAR SAIR O MANUAL DE PREENCHIMENTO DA PLANILHA, TÃO PROMETIDO PARA BATER O MARTELO, POIS COSTUMA UMA PUBLICAÇÃO NÃO BATER COM A OUTRA, SÓ PARA VARIAR.</t>
        </r>
        <r>
          <rPr>
            <sz val="10"/>
            <color rgb="FF000000"/>
            <rFont val="Arial"/>
            <family val="2"/>
            <charset val="1"/>
          </rPr>
          <t>Nota 2: O adicional de férias contido no Submódulo 2.1 corresponde a 1/3 (um terço) da
remuneração que por sua vez é divido por 12 (doze) conforme Nota 1 acima.</t>
        </r>
        <r>
          <rPr>
            <b/>
            <sz val="10"/>
            <color rgb="FF000000"/>
            <rFont val="Arial"/>
            <family val="2"/>
            <charset val="1"/>
          </rPr>
          <t>( Desta forma também defini que o percentual das férias seria 1/12 * 1/3 que corresponde a 11,11% , mas na cartilha da conta vinculada lançada em fevereiro de 2018, continua 12,10% para ser retido e pago na conta vinculada referente a provisão de férias e 1/3)</t>
        </r>
        <r>
          <rPr>
            <b/>
            <u/>
            <sz val="10"/>
            <color rgb="FF000000"/>
            <rFont val="Arial"/>
            <family val="2"/>
            <charset val="1"/>
          </rPr>
          <t>PORTANTO SE FAZ NECESSÁRIO CONTINUAR USANDO O CALCULO DO CNJ DE 12,10% EM CONTRATOS QUE UTILIZEM CONTA VINCULADA, POIS COMO PODERIAMOS RETER UM VALOR QUE NÃO ESTÁ PROVISIONADO NA PLANILHA)</t>
        </r>
      </text>
    </comment>
    <comment ref="G42" authorId="0">
      <text>
        <r>
          <rPr>
            <b/>
            <sz val="9"/>
            <color rgb="FF000000"/>
            <rFont val="Tahoma"/>
            <family val="2"/>
            <charset val="1"/>
          </rPr>
          <t>Usuário do Windows:</t>
        </r>
        <r>
          <rPr>
            <sz val="9"/>
            <color rgb="FF000000"/>
            <rFont val="Tahoma"/>
            <family val="2"/>
            <charset val="1"/>
          </rPr>
          <t>11,11% ou 12,10% Ler comentário na descrição do item FÉRIAS ao lado</t>
        </r>
      </text>
    </comment>
    <comment ref="B46" authorId="0">
      <text>
        <r>
          <rPr>
            <sz val="10"/>
            <color rgb="FF000000"/>
            <rFont val="Arial"/>
            <family val="2"/>
            <charset val="1"/>
          </rPr>
          <t>Contribuição de 20% sobre o total das remunerações destinada à Seguridade Social, conforme determina a Lei 8.212/91.</t>
        </r>
      </text>
    </comment>
    <comment ref="B47" authorId="0">
      <text>
        <r>
          <rPr>
            <sz val="10"/>
            <color rgb="FF000000"/>
            <rFont val="Arial"/>
            <family val="2"/>
            <charset val="1"/>
          </rPr>
          <t>Contribuições sociais destinadas ao Serviço Social da Indústria (SESI) e ao Serviço Social do Comércio (SESC). As empresas optantes pelo Simples Nacional são isentas. Para as demais empresas fica determinado o percentual de 1,5%.</t>
        </r>
      </text>
    </comment>
    <comment ref="D47" authorId="0">
      <text>
        <r>
          <rPr>
            <sz val="10"/>
            <color rgb="FF000000"/>
            <rFont val="Arial"/>
            <family val="2"/>
            <charset val="1"/>
          </rPr>
          <t>Usuário do Windows:
EMPRESAS OPTATANTES PELO SIMPLES ESTÃO ISENTAS DO PAGAMENTO DAS SEGUINTES CONTRIBUIÇÕES:  SESI ou SESC, SENAI ou SENAC, INCRA, Salário-Educação, SEBRAE, Portanto devem ser zeradas na Planilha.
Empresas de sessão de mão de obra não podem ser optantes pelo Simples com excessão das empresas que prestam serviços de serviços de vigilância, limpeza ou conservação desde que não exerçam em conjunto com outras atividades vedadas,c) Regime de Tributação – SIMPLES –Regime Especial Unificado de Arrecadação de Tributos e Contribuições – Microempresas (MEs) e Empresas de Pequeno Porte (EPPs) O SIMPLES consiste em um regime especial unificado de arrecadação de Tributos e Contribuições devidos pelas Microempresas e Empresas de Pequeno Porte, instituído pela Lei Complementar nº 123, de 14 de dezembro de 2006. Lembramos ainda que as microempresas e empresas de pequeno porte optantes pelo Simples Nacional ficam dispensadas do pagamento das demais contribuições instituídas pela União, tais como SESI ou SESC, SENAI ou SENAC, INCRA, Salário-Educação, SEBRAE, conforme expressa previsão legal contida no art. 13, § 3º da Lei Complementar nº 123/2006: § 3º  As microempresas e empresas de pequeno porte optantes pelo Simples Nacional ficam dispensadas do pagamento das demais contribuições instituídas pela União, inclusive as contribuições para as entidades privadas de serviço social e de formação profissional vinculadas ao sistema sindical, de que trata o art. 240 da Constituição Federal, e demais entidades de serviço social autônomo. Nem todas as microempresas ou empresas de pequeno porte poderão recolher os impostos e contribuições na forma do Simples, como por exemplo, as empresas que exercem atividade de cessão ou locação de mão de obra8. As vedações ao ingresso no Simples Nacional estão previstas no art. 17 da Lei Complementar nº 123/2006. 
8 Entende-se por cessão de mão de obra a colocação à disposição da empresa contratante, em suas dependências ou nas de terceiros, de trabalhadores que realizem serviços contínuos, relacionados ou não com sua atividade fim, quaisquer que sejam a natureza e a forma de contratação, inclusive por meio de trabalho temporário na forma da Lei nº 6.019, de 3 de janeiro de 1974. (art.115 Instrução Normativa RFB nº 971, de 13 de novembro de 2009)
117
CAPÍTULO VI – COMPOSIÇÃO DA PLANILHA DE CUSTO E FORMAÇÃO DE PREÇO 
Art. 17. Não poderão recolher os impostos e contribuições na forma do Simples Nacional a microempresa ou a empresa de pequeno porte: (...) XII – que realize cessão ou locação de mão de obra; É importante ressaltar que as vedações previstas no caput do art. 17 da LC nº 123/2006 não se aplicam às pessoas jurídicas que se dediquem exclusivamente às atividades referidas nos §§ 5o-B a 5o-E do art. 18 da Lei Complementar multicitada, ou as exerçam em conjunto com outras atividades que não tenham sido objeto de vedação no mesmo caput. Não se incluem nas vedações, por exemplo, as empresas que prestam serviços de vigilância, limpeza ou conservação desde que não exerçam em conjunto com outras atividades vedadas.
LC 123/2006 – §§ 5o-B a 5o-E do art. 18 da Lei Complementar nº 123/2006 § 5º-H.  A vedação de que trata o inciso XII do caput do art. 17 desta Lei Complementar não se aplica às atividades referidas no § 5º-C deste artigo. (Incluído pela Lei Complementar nº 128, de 2008) § 5º-C.  Sem prejuízo do disposto no § 1º do art. 17 desta Lei Complementar, as atividades de prestação de serviços seguintes serão tributadas na forma do Anexo IV desta Lei Complementar, hipótese em que não estará incluída no Simples Nacional a contribuição prevista no inciso VI do caput do art. 13 desta Lei Complementar, devendo ela ser recolhida segundo a legislação prevista para os demais contribuintes ou responsáveis: (Incluído pela Lei Complementar nº 128, de 2008) (...) VI – serviço de vigilância, limpeza ou conservação. (Incluído pela Lei Complementar nº 128, de 2008)</t>
        </r>
      </text>
    </comment>
    <comment ref="G47" authorId="0">
      <text>
        <r>
          <rPr>
            <sz val="9"/>
            <color rgb="FF000000"/>
            <rFont val="Tahoma"/>
            <family val="2"/>
            <charset val="1"/>
          </rPr>
          <t>Zerar se for optante pelo simples</t>
        </r>
      </text>
    </comment>
    <comment ref="B48" authorId="0">
      <text>
        <r>
          <rPr>
            <sz val="10"/>
            <color rgb="FF000000"/>
            <rFont val="Arial"/>
            <family val="2"/>
            <charset val="1"/>
          </rPr>
          <t>Contribuição ao Serviço Nacional de Aprendizagem Industrial (SENAI) e ao Serviço Nacional de Aprendizagem Comercial (SENAC). As empresas optantes pelo Simples Nacional são isentas. Para as demais empresas com menos de 500 empregados a incidência é de 1% e para as empresas com mais de 500 empregados a incidência é de 1,2%.</t>
        </r>
      </text>
    </comment>
    <comment ref="G48" authorId="0">
      <text>
        <r>
          <rPr>
            <b/>
            <sz val="9"/>
            <color rgb="FF000000"/>
            <rFont val="Tahoma"/>
            <family val="2"/>
            <charset val="1"/>
          </rPr>
          <t>Usuário do Windo</t>
        </r>
        <r>
          <rPr>
            <sz val="9"/>
            <color rgb="FF000000"/>
            <rFont val="Tahoma"/>
            <family val="2"/>
            <charset val="1"/>
          </rPr>
          <t>Zerar se for optante pelo simples</t>
        </r>
      </text>
    </comment>
    <comment ref="B49" authorId="0">
      <text>
        <r>
          <rPr>
            <sz val="10"/>
            <color rgb="FF000000"/>
            <rFont val="Arial"/>
            <family val="2"/>
            <charset val="1"/>
          </rPr>
          <t>Contribuição ao Instituto Nacional de Colonização e Reforma Agrária. As empresas optantes pelo Simples Nacional são isentas e as demais empresas pagam um percentual de 0,2%.</t>
        </r>
      </text>
    </comment>
    <comment ref="G49" authorId="0">
      <text>
        <r>
          <rPr>
            <b/>
            <sz val="9"/>
            <color rgb="FF000000"/>
            <rFont val="Tahoma"/>
            <family val="2"/>
            <charset val="1"/>
          </rPr>
          <t>Usuário do Windows:</t>
        </r>
        <r>
          <rPr>
            <sz val="9"/>
            <color rgb="FF000000"/>
            <rFont val="Tahoma"/>
            <family val="2"/>
            <charset val="1"/>
          </rPr>
          <t>Zerar se for optante pelo simples</t>
        </r>
      </text>
    </comment>
    <comment ref="B50" authorId="0">
      <text>
        <r>
          <rPr>
            <sz val="10"/>
            <color rgb="FF000000"/>
            <rFont val="Arial"/>
            <family val="2"/>
            <charset val="1"/>
          </rPr>
          <t>Contribuição social destinada ao financiamento da educação básica nos termos da Constituição Federal à base de 2,5%. As empresas optantes pelo Simples Nacional são isentas.</t>
        </r>
      </text>
    </comment>
    <comment ref="G50" authorId="0">
      <text>
        <r>
          <rPr>
            <b/>
            <sz val="9"/>
            <color rgb="FF000000"/>
            <rFont val="Tahoma"/>
            <family val="2"/>
            <charset val="1"/>
          </rPr>
          <t>Usuário do Windows:</t>
        </r>
        <r>
          <rPr>
            <sz val="9"/>
            <color rgb="FF000000"/>
            <rFont val="Tahoma"/>
            <family val="2"/>
            <charset val="1"/>
          </rPr>
          <t>Zerar se for optante pelo simples</t>
        </r>
      </text>
    </comment>
    <comment ref="B51" authorId="0">
      <text>
        <r>
          <rPr>
            <sz val="10"/>
            <color rgb="FF000000"/>
            <rFont val="Arial"/>
            <family val="2"/>
            <charset val="1"/>
          </rPr>
          <t>O Fundo de Garantia do Tempo de Serviço (FGTS) constitui-se em um pecúlio disponibilizado quando da aposentadoria ou morte do trabalhador e representa uma garantia para a indenização do tempo de serviço nos casos de demissão imotivada. É garantido pela Constituição Federal à base de 8%.</t>
        </r>
      </text>
    </comment>
    <comment ref="B52" authorId="0">
      <text>
        <r>
          <rPr>
            <sz val="10"/>
            <color rgb="FF000000"/>
            <rFont val="Arial"/>
            <family val="2"/>
            <charset val="1"/>
          </rPr>
          <t>Contribuição destinada a custear benefícios concedidos em razão do grau de incidência de incapacidade laborativa decorrentes dos riscos ambientais do trabalho. Pode ser estabelecido em:
SEG.ACID.TRAB. FAP X RAT ( Art. 22,II, da Lei n° 8.212/91).Alíquotas do SAT em função do FAP(Decreto n° 6.042/07 e n° 6.957/09).Fap(Anexo da RESOLUÇÃO mps/cnps n° 1.316/10)=alíquota do FAPx perc. Do SAT
Esses Perecentuais devem ser conferidos pelo pregoeiro e equipe de apoio, com base na GFIP
1% quando o risco de acidentes do trabalho for considerado leve.
2% quando o risco de acidentes do trabalho for considerado médio.
3% quando o risco de acidentes do trabalho for considerado grave.</t>
        </r>
      </text>
    </comment>
    <comment ref="G52" authorId="0">
      <text>
        <r>
          <rPr>
            <b/>
            <sz val="9"/>
            <color rgb="FF000000"/>
            <rFont val="Tahoma"/>
            <family val="2"/>
            <charset val="1"/>
          </rPr>
          <t>Usuário do Windows:</t>
        </r>
        <r>
          <rPr>
            <sz val="9"/>
            <color rgb="FF000000"/>
            <rFont val="Tahoma"/>
            <family val="2"/>
            <charset val="1"/>
          </rPr>
          <t>JURISPRUDÊNCIA - TCU (Acórdão  2.554/2010 - Primeira Câmara) 
7. Com relação aos itens de custo não cotados ou cotados a menor pela empresa vencedora do certame (como o “Seguro de Acidente de Trabalho”, a “Assistência Social Familiar Sindical”, a “Assistência Social” e os benefícios indiretos concedidos pelas empresas aos empregados),</t>
        </r>
        <r>
          <rPr>
            <b/>
            <sz val="9"/>
            <color rgb="FF000000"/>
            <rFont val="Tahoma"/>
            <family val="2"/>
            <charset val="1"/>
          </rPr>
          <t>não chegam a invalidar a proposta da licitante, mas devem ser objeto de acompanhamento pelo CBPF,</t>
        </r>
        <r>
          <rPr>
            <sz val="9"/>
            <color rgb="FF000000"/>
            <rFont val="Tahoma"/>
            <family val="2"/>
            <charset val="1"/>
          </rPr>
          <t>com a verificação do cumprimento, pela contratada, de suas obrigações trabalhistas em conformidade com a legislação, de forma a resguardar a Administração de eventual responsabilização solidária</t>
        </r>
        <r>
          <rPr>
            <b/>
            <sz val="9"/>
            <color rgb="FF000000"/>
            <rFont val="Tahoma"/>
            <family val="2"/>
            <charset val="1"/>
          </rPr>
          <t>, não podendo essas obrigações importar em eventual acréscimo contratual, considerando que a empresa tem o dever de honrar sua proposta na licitação,</t>
        </r>
        <r>
          <rPr>
            <sz val="9"/>
            <color rgb="FF000000"/>
            <rFont val="Tahoma"/>
            <family val="2"/>
            <charset val="1"/>
          </rPr>
          <t>prestando os serviços contratados pelo preço acordado entre as partes</t>
        </r>
      </text>
    </comment>
    <comment ref="B53" authorId="0">
      <text>
        <r>
          <rPr>
            <sz val="10"/>
            <color rgb="FF000000"/>
            <rFont val="Arial"/>
            <family val="2"/>
            <charset val="1"/>
          </rPr>
          <t>Contribuição social repassada ao Serviço Brasileiro de Apoio à Pequena e Média Empresa (SEBRAE), destinado a custear os programas de apoio à pequena e média empresa à base de 0,6%. As empresas optantes pelo Simples Nacional são isentas.</t>
        </r>
      </text>
    </comment>
    <comment ref="G53" authorId="0">
      <text>
        <r>
          <rPr>
            <b/>
            <sz val="9"/>
            <color rgb="FF000000"/>
            <rFont val="Tahoma"/>
            <family val="2"/>
            <charset val="1"/>
          </rPr>
          <t>Usuário do Windows:</t>
        </r>
        <r>
          <rPr>
            <sz val="9"/>
            <color rgb="FF000000"/>
            <rFont val="Tahoma"/>
            <family val="2"/>
            <charset val="1"/>
          </rPr>
          <t>Zerar se for optante pelo simples</t>
        </r>
      </text>
    </comment>
    <comment ref="G60" authorId="0">
      <text>
        <r>
          <rPr>
            <sz val="10"/>
            <color rgb="FF000000"/>
            <rFont val="Arial"/>
            <family val="2"/>
            <charset val="1"/>
          </rPr>
          <t>Pode variar conforme CCT. Sempre verificar.</t>
        </r>
      </text>
    </comment>
    <comment ref="B74" authorId="0">
      <text>
        <r>
          <rPr>
            <b/>
            <sz val="9"/>
            <color rgb="FF000000"/>
            <rFont val="Tahoma"/>
            <family val="2"/>
            <charset val="1"/>
          </rPr>
          <t>Usuário do Windows:</t>
        </r>
        <r>
          <rPr>
            <sz val="9"/>
            <color rgb="FF000000"/>
            <rFont val="Tahoma"/>
            <family val="2"/>
            <charset val="1"/>
          </rPr>
          <t>FUNDAMENTAÇÃO LEGAL - Constituição Federal de 1988 (Art. 7°, inciso XXI) - CLT (Art. 477, art. 487 a 491) - Observação (1) - Aviso Prévio Indenizado – Estudos CNJ – Resolução 98/2009  Aviso Prévio indenizado - 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término do contrato de trabalho. Cálculo ((1/12)x 0,05) x 100 =0,42%.</t>
        </r>
      </text>
    </comment>
    <comment ref="B75" authorId="0">
      <text>
        <r>
          <rPr>
            <b/>
            <sz val="9"/>
            <color rgb="FF000000"/>
            <rFont val="Tahoma"/>
            <family val="2"/>
            <charset val="1"/>
          </rPr>
          <t>Usuário do Windows:</t>
        </r>
        <r>
          <rPr>
            <sz val="9"/>
            <color rgb="FF000000"/>
            <rFont val="Tahoma"/>
            <family val="2"/>
            <charset val="1"/>
          </rPr>
          <t>aplicar o percentual do FGTS sobre o Aviso Prévio Indenizado.</t>
        </r>
        <r>
          <rPr>
            <b/>
            <sz val="9"/>
            <color rgb="FF000000"/>
            <rFont val="Tahoma"/>
            <family val="2"/>
            <charset val="1"/>
          </rPr>
          <t>Ex 8% X 0,42% = 0,03%</t>
        </r>
      </text>
    </comment>
    <comment ref="B76" authorId="0">
      <text>
        <r>
          <rPr>
            <b/>
            <sz val="9"/>
            <color rgb="FF000000"/>
            <rFont val="Tahoma"/>
            <family val="2"/>
            <charset val="1"/>
          </rPr>
          <t>Usuário do Windows:</t>
        </r>
        <r>
          <rPr>
            <sz val="9"/>
            <color rgb="FF000000"/>
            <rFont val="Tahoma"/>
            <family val="2"/>
            <charset val="1"/>
          </rPr>
          <t>FUNDAMENTAÇÃO LEGAL - Jurisprudência - TCU (Acórdão 2.217/2010 – Plenário - vide apêndice pág. 52)
49 Multa do FGTS do aviso prévio indenizado: valor da multa do FGTS indenizado (40%) + contribuição social sobre o FGTS (10%), que incide sobre a alíquota do FGTS (8%) aplicado sobre o custo de referência do aviso prévio indenizado.
 FUNDAMENTAÇÃO LEGAL - Lei nº 8.036, de 11 de maio de 1990 (Art. 18 § 1º) com redação dada pela Lei nº 9.491, de 9 de setembro de 1997. - Lei Complementar nº 110, de 29 de junho de 2001. (Art. 1°) - Observação (2) - Aviso Prévio Indenizado – Estudos CNJ – Resolução 98/2009 Multa FGTS - Rescisão sem Justa Causa: A Lei Complementar nº 110, de 29 de junho de 2001, determina multa de 50%, da soma dos depósitos do FGTS, no caso de rescisão sem justa causa. Considerando que 10% dos empregados pedem contas, essa penalidade recai sobre os 90% remanescentes. Considerando o pagamento da multa para os valores depositados relativos a salários, férias e 13º salário o cálculo dessa provisão corresponde a: 0,08 x 0,5 x 0,9 x (1 + 5/56 + 5/56 + 1/3 * 5/56) = 4,35%.</t>
        </r>
      </text>
    </comment>
    <comment ref="G76" authorId="0">
      <text>
        <r>
          <rPr>
            <b/>
            <sz val="10"/>
            <color rgb="FF000000"/>
            <rFont val="Arial"/>
            <family val="2"/>
            <charset val="1"/>
          </rPr>
          <t>1°- Não havendo conta vinculada o valor de referência estabelecido no Manual de preenchimento de planilhas do MPOG é de 4,35% APT+API.
FUNDAMENTAÇÃO LEGAL -</t>
        </r>
        <r>
          <rPr>
            <sz val="10"/>
            <color rgb="FF000000"/>
            <rFont val="Arial"/>
            <family val="2"/>
            <charset val="1"/>
          </rPr>
          <t>Lei nº 8.036, de 11 de maio de 1990 (Art. 18 § 1º) com redação dada pela Lei nº 9.491, de 9 de setembro de 1997. - Lei Complementar nº 110, de 29 de junho de 2001. (Art. 1°) -Aviso Prévio Indenizado – Estudos CNJ – Resolução 98/2009 Multa FGTS - Rescisão sem Justa Causa: A Lei Complementar nº 110, de 29 de junho de 2001, determina multa de 50%, da soma dos depósitos do FGTS, no caso de rescisão sem justa causa. Considerando que 10% dos empregados pedem contas, essa penalidade recai sobre os 90% remanescentes.Considerando o pagamento da multa para os valores depositados relativos a salários, férias e 13º salário o cálculo dessa provisão corresponde a: 0,08 x 0,5 x 0,9 x (1 + 5/56 + 5/56 + 1/3 * 5/56) = 4,35%.Onde 0,08 Corresponde ao % dop FGTS;  0,5 é os 50% da multa FGTS ; 0,9 corresponde é o percentual de funcionários que são demitidos sem justa causa;( 1 representa uma remuneração; 5/56 representa 5 meses de férias que um funcionário dentro de um periodo de 56 meses este raciocionio vale para férias e 13° e por fim 1/3 de 5/56 que é um terço constitucional de féria).
---------------------------------------------------------------------------------------------------------------------
2° Quando for exigido conta vinculada :Conforme orientações do MPOG, Quando houver conta vinculada, tanto para o Aviso Prévio Trabalhado quanto para o Aviso Prévio Indenizado, a porcentagem que irá incidir é de 5% soma dos dois avisos (API+APT) sobre o custo de referência.
E também foi orientado que está correto o raciocínio de ponderar os 5% entre o API e o APT, não precisando ser exatamente 50% pra cada. Isso dependerá das características intrínsecas de cada empresa e tipo de serviço, podendo ser definido pelo fornecedor desde que os 2 itens fechem em 5% no caso de ter conta vinculada.</t>
        </r>
      </text>
    </comment>
    <comment ref="B77" authorId="0">
      <text>
        <r>
          <rPr>
            <b/>
            <sz val="9"/>
            <color rgb="FF000000"/>
            <rFont val="Tahoma"/>
            <family val="2"/>
            <charset val="1"/>
          </rPr>
          <t>Usuário do Windows:</t>
        </r>
        <r>
          <rPr>
            <sz val="9"/>
            <color rgb="FF000000"/>
            <rFont val="Tahoma"/>
            <family val="2"/>
            <charset val="1"/>
          </rPr>
          <t>[(1 salário integral / 30 dias) x 7 dias] / 12 meses = 1,94% é o índice.Acórdão 1186/2017 Plenário (Auditoria, Relator Ministro-Substituto Augusto Sherman)
Licitação. Orçamento estimativo. Encargos sociais. Aviso prévio. Terceirização. Limite máximo. Prorrogação de contrato.
Nas licitações para contratação de mão de obra terceirizada, a Administração deve estabelecer na minuta do contrato que a parcela mensal a título de aviso prévio trabalhado será no percentualmáximo de 1,94% no primeiro ano, e, em caso de prorrogação do contrato, o percentual máximo dessa parcela será de0,194% a cada ano de prorrogação, a ser incluído por ocasião da formulação do aditivo da prorrogação do contrato, conforme a Lei 12.506/2011.</t>
        </r>
      </text>
    </comment>
    <comment ref="G83" authorId="0">
      <text>
        <r>
          <rPr>
            <sz val="10"/>
            <color rgb="FF000000"/>
            <rFont val="Arial"/>
            <family val="2"/>
            <charset val="1"/>
          </rPr>
          <t>Opnião Edilson:
A IN 05/2017, trouxe uma novidade com relação as férias, antes tinhamos calculado separado neste campo o %  das férias e em outro campo o % do (1/3) terço constitucional que no cálculo do CNJ seria 12,10%.
Mas  agora  a IN 05/2017, trouxe no submódulo 2.1 as férias e o 1/3 juntos, e repetiu o item  férias mais uma vez no Módulo 4 - como Custo de Reposição do Profissional Ausente.
Tenho visto alguns colocarem novamente o percentual de 12,10% ou 11,11%, o que no meu ponto está redondamente errado.
 O Texto da IN 05/2017 trouxe o seguinte texto:
Nota: As alíneas “A” a “F” referem-se somente ao custo que será pago ao repositor pelos dias
trabalhados</t>
        </r>
        <r>
          <rPr>
            <b/>
            <u/>
            <sz val="10"/>
            <color rgb="FF000000"/>
            <rFont val="Arial"/>
            <family val="2"/>
            <charset val="1"/>
          </rPr>
          <t>quando da necessidade de substituir</t>
        </r>
        <r>
          <rPr>
            <sz val="10"/>
            <color rgb="FF000000"/>
            <rFont val="Arial"/>
            <family val="2"/>
            <charset val="1"/>
          </rPr>
          <t>a mão de obra alocada na prestação do serviço.
Com base neste texto, até que saia o manual de preenchimento da planilha existem 2 opções:
1° Deixar em Branco: já que é novo e o valor é irrisório.
2° Calcular o percentual das férias+1 /3  + 13° salário e dividir por 12 e os seus reflexos que já seram automaticamente cáculados na letra F ( incidencia submodulo 2.1).</t>
        </r>
      </text>
    </comment>
    <comment ref="F84" authorId="0">
      <text>
        <r>
          <rPr>
            <b/>
            <sz val="9"/>
            <color rgb="FF000000"/>
            <rFont val="Tahoma"/>
            <family val="2"/>
            <charset val="1"/>
          </rPr>
          <t>Usuário do Windows:
CUSTO NÃO RENOVÁVEL :</t>
        </r>
        <r>
          <rPr>
            <sz val="9"/>
            <color rgb="FF000000"/>
            <rFont val="Tahoma"/>
            <family val="2"/>
            <charset val="1"/>
          </rPr>
          <t>VALE LEMBRAR QUE POR OCASIÃO DAS PRORROGAÇÕES DEVE SE VERIFICAR SE ESSE VALOR PROVISIONADO FOI UTILIZADO, SE NÃO FOR OU FOR UTILIZADO EM PARTES, DEVE SER RETIRADO OU COLOCADO PROPORCIONALMENTE O % UTILIZADO.</t>
        </r>
        <r>
          <rPr>
            <b/>
            <sz val="9"/>
            <color rgb="FF000000"/>
            <rFont val="Tahoma"/>
            <family val="2"/>
            <charset val="1"/>
          </rPr>
          <t>(O RACIOCÍNIO VALE PARA TODOS OS ITENS DESTA TABELA DO SUBMÓDULO 4.1)</t>
        </r>
      </text>
    </comment>
    <comment ref="G84" authorId="0">
      <text>
        <r>
          <rPr>
            <sz val="10"/>
            <color rgb="FF000000"/>
            <rFont val="Arial"/>
            <family val="2"/>
            <charset val="1"/>
          </rPr>
          <t>Ausências previstas na legislação vigente que é composta por um conjunto de casos em que o funcionário pode se ausentar sem perda da remuneração.
Considerando que o empregado tenha apenas uma falta legal durante o período de 1 ano, temos:
Cálculo:
1/360 = 0,002777 = 0,27%
Esse valor pode variar conforme dados estatísticos da empresa.</t>
        </r>
      </text>
    </comment>
    <comment ref="G85" authorId="0">
      <text>
        <r>
          <rPr>
            <sz val="10"/>
            <color rgb="FF000000"/>
            <rFont val="Arial"/>
            <family val="2"/>
            <charset val="1"/>
          </rPr>
          <t>Concede ao empregado o direito de ausentar-se do serviço por cinco dias quando do nascimento de filho. De acordo com o IBGE, nascem filhos de 1,5% dos trabalhadores no período de um ano. Dessa forma a provisão para este item corresponde a:
((5/30)/12) x 0,015 x 100 = 0,02%
Esse valor pode variar conforme dados estatísticos da empresa.</t>
        </r>
      </text>
    </comment>
    <comment ref="F86" authorId="0">
      <text>
        <r>
          <rPr>
            <b/>
            <sz val="9"/>
            <color indexed="81"/>
            <rFont val="Tahoma"/>
            <family val="2"/>
          </rPr>
          <t>UFERSA:</t>
        </r>
        <r>
          <rPr>
            <sz val="9"/>
            <color indexed="81"/>
            <rFont val="Tahoma"/>
            <family val="2"/>
          </rPr>
          <t xml:space="preserve">
O auxílio-acidente é o afastamento por mais de 15 dias do trabalho em
virtude de acidentes no exercício da atividade profissional, ou doenças adquiridas ou desencadeadas pelo exercício do trabalho ou das condições em que este é realizado e com ele se relacione diretamente. O custo estimado nessa rubrica corresponde apenas aos primeiros 15 dias, o qual é obrigação da empresa a cobertura do mesmo, sendo após 15 dias, o benefício será coberto pela Previdência Social. O percentual de 0,06% é igual ao número de dias cobertos pela empresa em um mês dentro de um ano multiplicado por 1,33%  conforme  Anuário Estatístico de Acidentes do Trabalho-2016(AEAT/INSS2016)(http://sa.previdencia.gov.br/site/2018/04/AEAT-2016.pdf). 
</t>
        </r>
      </text>
    </comment>
    <comment ref="G86" authorId="0">
      <text>
        <r>
          <rPr>
            <sz val="10"/>
            <color rgb="FF000000"/>
            <rFont val="Arial"/>
            <family val="2"/>
            <charset val="1"/>
          </rPr>
          <t>Valor do custo referente aos 15 primeiros dias em que o empregado encontra-se afastado por acidente de trabalho e a empresa contratada tem o dever de remunerá-lo. Após esse período o ônus passa a ser do INSS. De acordo com os números mais recentes apresentados pelo Ministério da Previdência e Assistência Social, baseados em informações prestadas pelos empregadores, por meio de GFIP, 0,78% dos empregados se acidentam no ano. Assim, a provisão corresponde a:
((15/30)/12) x 0,0078 x 100 = 0,03%
Esse valor pode variar conforme dados estatísticos da empresa.</t>
        </r>
      </text>
    </comment>
    <comment ref="B88" authorId="0">
      <text>
        <r>
          <rPr>
            <b/>
            <sz val="9"/>
            <color rgb="FF000000"/>
            <rFont val="Tahoma"/>
            <family val="2"/>
            <charset val="1"/>
          </rPr>
          <t>Usuário do Windows:</t>
        </r>
        <r>
          <rPr>
            <sz val="9"/>
            <color rgb="FF000000"/>
            <rFont val="Tahoma"/>
            <family val="2"/>
            <charset val="1"/>
          </rPr>
          <t>Esse item (Ausência por doença), foi exlcuido do modelo de tabela da IN05/2017, mas não foi dito o motivo, nem mesmo se deveria ser computado por exemplo com o item Ausências Legais,</t>
        </r>
        <r>
          <rPr>
            <b/>
            <sz val="9"/>
            <color rgb="FF000000"/>
            <rFont val="Tahoma"/>
            <family val="2"/>
            <charset val="1"/>
          </rPr>
          <t>enquanto não sai o manual de prenchimento de planilha</t>
        </r>
        <r>
          <rPr>
            <sz val="9"/>
            <color rgb="FF000000"/>
            <rFont val="Tahoma"/>
            <family val="2"/>
            <charset val="1"/>
          </rPr>
          <t>prometido pelo Ministério do Planejamento acho prudente continuar usando o percentual por se tratar do mais impactante na planilha de custos.</t>
        </r>
      </text>
    </comment>
    <comment ref="G88" authorId="0">
      <text>
        <r>
          <rPr>
            <sz val="10"/>
            <color rgb="FF000000"/>
            <rFont val="Arial"/>
            <family val="2"/>
            <charset val="1"/>
          </rPr>
          <t>Esta parcela refere-se aos dias em que o empregado fica doente e a contratada deve providenciar sua substituição. Entendemos que deva ser adotado 5,96 dias, conforme consta no memorial de cálculo encaminhado pelo MP, devendo-se converter esses dias em mês e depois dividi-lo pelo número de meses no ano. (Acórdão 1753/2008 – Plenário TCU)
Cálculo:
(5,96/30)/12 x 100 = 1,66%;
Esse valor pode variar conforme dados estatísticos da empresa.</t>
        </r>
      </text>
    </comment>
    <comment ref="B94" authorId="0">
      <text>
        <r>
          <rPr>
            <b/>
            <sz val="9"/>
            <color rgb="FF000000"/>
            <rFont val="Tahoma"/>
            <family val="2"/>
            <charset val="1"/>
          </rPr>
          <t>Usuário do Windows:</t>
        </r>
        <r>
          <rPr>
            <sz val="9"/>
            <color rgb="FF000000"/>
            <rFont val="Tahoma"/>
            <family val="2"/>
            <charset val="1"/>
          </rPr>
          <t>Texto extraído da IN 05/2017 
Nota: Quando houver a necessidade de reposição de um empregado durante sua ausência nos casos de intervalo para repouso ou alimentação deve-se contemplar o Submódulo 4.2.</t>
        </r>
      </text>
    </comment>
    <comment ref="B108" authorId="0">
      <text>
        <r>
          <rPr>
            <b/>
            <sz val="9"/>
            <color rgb="FF000000"/>
            <rFont val="Tahoma"/>
            <family val="2"/>
            <charset val="1"/>
          </rPr>
          <t>Usuário do Windows:</t>
        </r>
        <r>
          <rPr>
            <sz val="9"/>
            <color rgb="FF000000"/>
            <rFont val="Tahoma"/>
            <family val="2"/>
            <charset val="1"/>
          </rPr>
          <t> Definição
Correspondem aos dispêndios relativos aos custos indiretos, tributos e lucros. Na metodologia de cálculo dos valores limites é denominado CITL.</t>
        </r>
      </text>
    </comment>
    <comment ref="F109" authorId="0">
      <text>
        <r>
          <rPr>
            <b/>
            <sz val="9"/>
            <color rgb="FF000000"/>
            <rFont val="Tahoma"/>
            <family val="2"/>
            <charset val="1"/>
          </rPr>
          <t>Usuário do Windows:
Texto extraído do Manual de preenchimento de Planilha MPOG 2011</t>
        </r>
        <r>
          <rPr>
            <sz val="9"/>
            <color rgb="FF000000"/>
            <rFont val="Tahoma"/>
            <family val="2"/>
            <charset val="1"/>
          </rPr>
          <t>Nota Explicativa: 
Custos indiretos: são os gastos da contratada com sua estrutura administrativa, organizacional e gerenciamento de seus contratos, tais como as despesas relativas a: a) funcionamento e manutenção da sede, tais como aluguel, água, luz, telefone, o Imposto Predial Territorial Urbano – IPTU, dentre outros; b) pessoal administrativo; c) material e equipamentos de escritório; d) supervisão de serviços;  e) seguros.
 -</t>
        </r>
        <r>
          <rPr>
            <b/>
            <sz val="9"/>
            <color rgb="FF000000"/>
            <rFont val="Tahoma"/>
            <family val="2"/>
            <charset val="1"/>
          </rPr>
          <t>Observação (1) -  No cálculo dos valores limites para os serviços de vigilância e limpeza foram estabelecidos os percentuais de 6% e 3% respectivamente</t>
        </r>
        <r>
          <rPr>
            <sz val="9"/>
            <color rgb="FF000000"/>
            <rFont val="Tahoma"/>
            <family val="2"/>
            <charset val="1"/>
          </rPr>
          <t>. Os custos indiretos são calculados mediante incidência daqueles percentuais sobre o somatório da remuneração, benefícios mensais e diários, insumos diversos, encargos sociais e trabalhistas.</t>
        </r>
        <r>
          <rPr>
            <b/>
            <sz val="12"/>
            <color rgb="FFFF0000"/>
            <rFont val="Tahoma"/>
            <family val="2"/>
            <charset val="1"/>
          </rPr>
          <t>Na verdade o esse texto traz arredondamentos, sendo que a Margem de lucro definida em estudo na Caderno de Limpeza do MPOG 2014 é</t>
        </r>
        <r>
          <rPr>
            <b/>
            <sz val="12"/>
            <color rgb="FF000000"/>
            <rFont val="Tahoma"/>
            <family val="2"/>
            <charset val="1"/>
          </rPr>
          <t>de 6,79% para Lucro e 3% para Custos Indiretos</t>
        </r>
        <r>
          <rPr>
            <b/>
            <sz val="12"/>
            <color rgb="FFFF0000"/>
            <rFont val="Tahoma"/>
            <family val="2"/>
            <charset val="1"/>
          </rPr>
          <t>, para os serviços de Vigilância e limpeza</t>
        </r>
        <r>
          <rPr>
            <sz val="9"/>
            <color rgb="FF000000"/>
            <rFont val="Tahoma"/>
            <family val="2"/>
            <charset val="1"/>
          </rPr>
          <t>________________________________________________________________________________________________________________</t>
        </r>
        <r>
          <rPr>
            <b/>
            <sz val="9"/>
            <color rgb="FF000000"/>
            <rFont val="Tahoma"/>
            <family val="2"/>
            <charset val="1"/>
          </rPr>
          <t>IN nº 05/17 – anexo vii-a</t>
        </r>
        <r>
          <rPr>
            <sz val="9"/>
            <color rgb="FF000000"/>
            <rFont val="Tahoma"/>
            <family val="2"/>
            <charset val="1"/>
          </rPr>
          <t>9.2  Consideram-se preços manifestamente inexeqüíveis aqueles que, comprovadamente, forem insuficientes para a cobertura dos custos decorrentes da contratação pretendida.
9.3 A inexeqüibilidade dos valores referentes a itens isolados da planilha de custos  e formação de preços não caracteriza motivo suficiente para a desclassificação da proposta, , desde que não contrariem exigências legais.
9.4 Se houver indícios de inexequibilidade da proposta de preço, ou em caso da necessidade de esclarecimentos complementares, poderá ser efetuada diligência, na forma do § 3° do art. 43 da Lei n° 8.666, de 1993, para efeito de comprovação de sua exequibilidade, podendo ser adotado, dentre outros, os seguintes procedimentos:
questionamentos junto à proponente para a apresentação de justificativas e comprovações em relação aos custos com indícios de inexequibilidade;verificação de Acordos, Convenções ou Dissídios Coletivos de Trabalho;levantamento de informações junto ao Ministério do Trabalho; consultas a entidades ou conselhos de classe, sindicatos ou similares; pesquisas em órgãos públicos ou empresas privadas verificação de outros contratos que o proponente mantenha com a Administração ou com a iniciativa privada;pesquisa de preço com fornecedores dos insumos utilizados, tais como: atacadistas, lojas de suprimentos,supermercados e fabricantes;verificação de notas fiscais dos produtos adquiridos pelo proponente;
levantamento de indicadores salariais ou trabalhistas publicados por órgãos de pesquisa;estudos setoriais;consultas às Fazendas Federal, Distrital, Estadual ou Municipal; eanálise de soluções técnicas escolhidas e/ou condições excepcionalmente favoráveis que o proponente disponha para a prestação dos serviços.
9.5 Qualquer interessado poderá requerer que se realizem diligências para aferir a exequibilidade e a legalidade das propostas, devendo apresentar as provas ou os indícios que fundamentam o pedido;
9.6 Quando o licitante apresentar</t>
        </r>
        <r>
          <rPr>
            <b/>
            <sz val="9"/>
            <color rgb="FF000000"/>
            <rFont val="Tahoma"/>
            <family val="2"/>
            <charset val="1"/>
          </rPr>
          <t>preço final inferior a 30% da média dos preços ofertados</t>
        </r>
        <r>
          <rPr>
            <sz val="9"/>
            <color rgb="FF000000"/>
            <rFont val="Tahoma"/>
            <family val="2"/>
            <charset val="1"/>
          </rPr>
          <t>para o mesmo item, e a inexequibilidade da proposta não for flagrante e evidente pela análise da planilha de custos e formação de preços,</t>
        </r>
        <r>
          <rPr>
            <b/>
            <sz val="9"/>
            <color rgb="FF000000"/>
            <rFont val="Tahoma"/>
            <family val="2"/>
            <charset val="1"/>
          </rPr>
          <t>não sendo possível a sua imediata desclassificaçã</t>
        </r>
        <r>
          <rPr>
            <sz val="9"/>
            <color rgb="FF000000"/>
            <rFont val="Tahoma"/>
            <family val="2"/>
            <charset val="1"/>
          </rPr>
          <t>o, será obrigatória a realização de diligências para aferir a legalidade e exequibilidade da proposta.
________________________________________________________________________________________________________________</t>
        </r>
        <r>
          <rPr>
            <b/>
            <sz val="9"/>
            <color rgb="FF000000"/>
            <rFont val="Tahoma"/>
            <family val="2"/>
            <charset val="1"/>
          </rPr>
          <t>TCU –Acórdão nº 1.214/2013 – Plenário
III.H percentuais mínimos aceitáveis para encargos sociais e ldi</t>
        </r>
        <r>
          <rPr>
            <sz val="9"/>
            <color rgb="FF000000"/>
            <rFont val="Tahoma"/>
            <family val="2"/>
            <charset val="1"/>
          </rPr>
          <t>219. Do mesmo modo, lucro, como se sabe, pode ser maximizado com uma boa gestão de mão de obra, mas não se deve abrir mão de um mínimo aceitável, pois não é crível que prestadores de serviços estejam dispostos a trabalharem de graça para o erário. Não fixar lucro mínimo é um incentivo para que as empresas avancem sobre outras verbas, como direitos trabalhistas, tributos e contribuições compulsórias, como tem sido praxe.
220. Também as despesas administrativas, devem ser objeto de análise pela administração, pois não é razoável que a empresa não possua esse gasto. No entanto, é aceitável que existam justificativas para reduzí-lo ou eliminá-lo, por exemplo, que a empresa administre muitos contratos, ou que se trate de uma empresa familiar, mas para isso a empresa necessite apresenta-las.
_______________________________________________________________________________________________________________</t>
        </r>
        <r>
          <rPr>
            <b/>
            <sz val="9"/>
            <color rgb="FF000000"/>
            <rFont val="Tahoma"/>
            <family val="2"/>
            <charset val="1"/>
          </rPr>
          <t>Mas em outro acordão o TCU definiu que  os % são livres para serem definidos por cada fornecedor:
(Acórdão 325/2007-TCU-Plenário).Não há vedação legalà atuação, por parte de empresas contratadas pela Administração Pública Federal,sem margem de lucro ou com margem de lucro mínima, pois tal fato depende da estratégia comercial da empresa e não conduz, necessariamente, à inexecução da proposta.
___________________________________________________________________________________________________Outro Acórdão que parece trazer certa solução, estabelece que os percentuais mínimos devem ser estabelecidos em Edital.A desclassificação de proposta por inexequibilidade deve ser objetivamente demonstrada, a partir de critérios previamente publicados (Acórdãos 2.528/2012 e 1.092/2013, ambos do Plenário).
Vale destacar que a questão foi abordada no Acórdão nº 1.214/13-Plenário, em sede de representação formulada a partir de trabalho realizado por grupo de estudos, constituído com o objetivo de apresentar proposições de melhorias nos procedimentos relativos à terceirização de serviços continuados na Administração Pública Federal. Um dos problemas apontados naquela ocasião foi justamente a dificuldade enfrentada pela Administração no exame de exequibilidade das propostas, em razão da ausência de parâmetros seguros de análise.
De acordo coma conclusão do grupo, “(…)os editais deveriam consignar expressamente as condições mínimas para que as propostas sejam consideradas exequíveis, proibindo propostas com lucro e despesas administrativas iguais a zero, entre outros, em razão de esse percentual englobar os impostos e contribuições não repercutíveis (IR, CSLL). Registre-se que o grupo não determinou quais seriam as condições mínimas ideais, de modo que deverá ser realizado estudo para determiná-las e, assim, possibilitar a implementação dessa proposta.”________________________________________________________________________________________________________________</t>
        </r>
      </text>
    </comment>
    <comment ref="F110" authorId="0">
      <text>
        <r>
          <rPr>
            <sz val="10"/>
            <color rgb="FF000000"/>
            <rFont val="Arial"/>
            <family val="2"/>
            <charset val="1"/>
          </rPr>
          <t>(Acórdão 325/2007-TCU-Plenário).</t>
        </r>
        <r>
          <rPr>
            <b/>
            <sz val="10"/>
            <color rgb="FF000000"/>
            <rFont val="Arial"/>
            <family val="2"/>
            <charset val="1"/>
          </rPr>
          <t>Não há vedação legal</t>
        </r>
        <r>
          <rPr>
            <sz val="10"/>
            <color rgb="FF000000"/>
            <rFont val="Arial"/>
            <family val="2"/>
            <charset val="1"/>
          </rPr>
          <t>à atuação, por parte de empresas contratadas pela Administração Pública Federal,</t>
        </r>
        <r>
          <rPr>
            <b/>
            <sz val="10"/>
            <color rgb="FF000000"/>
            <rFont val="Arial"/>
            <family val="2"/>
            <charset val="1"/>
          </rPr>
          <t>sem margem de lucro ou com margem de lucro mínima</t>
        </r>
        <r>
          <rPr>
            <sz val="10"/>
            <color rgb="FF000000"/>
            <rFont val="Arial"/>
            <family val="2"/>
            <charset val="1"/>
          </rPr>
          <t>, pois tal fato depende da estratégia comercial da empresa e não conduz, necessariamente, à inexecução da proposta
2. A desclassificação de proposta por inexequibilidade deve ser objetivamente demonstrada, a partir de critérios previamente publicados (Acórdãos 2.528/2012 e 1.092/2013, ambos do Plenário)
------------------------------------------------------------------------------------------------------------------------------------------
Mas em outro acórdão o TCU deliberou o seguinte:
Vale destacar que a questão foi abordada no Acórdão nº 1.214/13-Plenário, em sede de representação formulada a partir de trabalho realizado por grupo de estudos, constituído com o objetivo de apresentar proposições de melhorias nos procedimentos relativos à terceirização de serviços continuados na Administração Pública Federal. Um dos problemas apontados naquela ocasião foi justamente a dificuldade enfrentada pela Administração no exame de exequibilidade das propostas, em razão da ausência de parâmetros seguros de análise.
De acordo coma conclusão do grupo, “(…)</t>
        </r>
        <r>
          <rPr>
            <b/>
            <sz val="10"/>
            <color rgb="FF000000"/>
            <rFont val="Arial"/>
            <family val="2"/>
            <charset val="1"/>
          </rPr>
          <t>os editais deveriam consignar expressamente as condições mínimas para que as propostas sejam consideradas exequíveis, proibindo propostas com lucro e despesas administrativas iguais a zero</t>
        </r>
        <r>
          <rPr>
            <sz val="10"/>
            <color rgb="FF000000"/>
            <rFont val="Arial"/>
            <family val="2"/>
            <charset val="1"/>
          </rPr>
          <t>, entre outros, em razão de esse percentual englobar os impostos e contribuições não repercutíveis (IR, CSLL). Registre-se que o grupo não determinou quais seriam as condições mínimas ideais, de modo que deverá ser realizado estudo para determiná-las e, assim, possibilitar a implementação dessa proposta.”
------------------------------------------------------------------------------------------------------------------------------------------</t>
        </r>
        <r>
          <rPr>
            <b/>
            <sz val="10"/>
            <color rgb="FFFF0000"/>
            <rFont val="Arial"/>
            <family val="2"/>
            <charset val="1"/>
          </rPr>
          <t>Conclusão:
Melhor solução, estabelecer nos Editais com base em estudos percentuais minímos de lucros e custos indiretos</t>
        </r>
      </text>
    </comment>
    <comment ref="G113" authorId="0">
      <text>
        <r>
          <rPr>
            <sz val="10"/>
            <color rgb="FF000000"/>
            <rFont val="Arial"/>
            <family val="2"/>
            <charset val="1"/>
          </rPr>
          <t>Empresas Lucro Presumido:
PIS: 0,65% / COFINS: 3,00%
Empresas Lucro Real:
PIS: 1,65% / COFINS: 7,60%
Para as empresas optantes pelo Simples Nacional, a tributação varia conforme o faturamento mensal.
Soma-se os módulo 1,2,3,4,5, bem como os Custos Indiretos e o Lucro. Em seguida divide-se pelo Fator de Divisão, conforme a tributação aplicada (presumido,real,SIMPLES). Dessa forma, encontra-se o faturamento o qual incidirá a alíquota do PIS (PRESUMIDO).</t>
        </r>
      </text>
    </comment>
    <comment ref="G114" authorId="0">
      <text>
        <r>
          <rPr>
            <sz val="10"/>
            <color rgb="FF000000"/>
            <rFont val="Arial"/>
            <family val="2"/>
            <charset val="1"/>
          </rPr>
          <t>Empresas Lucro Presumido:
PIS: 0,65% / COFINS: 3,00%
Empresas Lucro Real:
PIS: 1,65% / COFINS: 7,60%
Para as empresas optantes pelo Simples Nacional, a tributação varia conforme o faturamento mensal.
Soma-se os módulo 1,2,3,4,5, bem como os Custos Indiretos e o Lucro. Em seguida divide-se pelo Fator de Divisão, conforme a tributação aplicada (presumido,real,SIMPLES). Dessa forma, encontra-se o faturamento o qual incidirá a alíquota do COFINS (PRESUMIDO).</t>
        </r>
      </text>
    </comment>
    <comment ref="G116" authorId="0">
      <text>
        <r>
          <rPr>
            <sz val="10"/>
            <color rgb="FF000000"/>
            <rFont val="Arial"/>
            <family val="2"/>
            <charset val="1"/>
          </rPr>
          <t>SANTOS DUMONT 3% (PODE VARIAR CONFORME MUNICÍPIO)
ALÍQUOTAS  SIMPLES, CONFORME TABELA A SEGUIR:
Antigo Anexo III do Simples Nacional (alterada em 2018)
Receita Bruta em 12 meses (em R$)	Alíquota Total	IRPJ	CSLL	COFINS	PIS	CPP	ISS
De R$ 0,00 a R$ 180.000,00            	6,00%	0,00%	0,00%	0,00%	0,00%	4,00%	2,00%
De R$ 180.000,01 a R$ 360.000,00 	8,21%	0,00%	0,00%	1,42%	0,00%	4,00%	2,79%
De R$ 360.000,01 a R$ 540.000,00 	10,26%	0,48%	0,43%	1,43%	0,35%	4,07%	3,50%
De R$ 540.000,01 a R$ 720.000,00 	11,31%	0,53%	0,53%	1,56%	0,38%	4,47%	3,84%
De R$ 720.000,01 a R$ 900.000,00 	11,40%	0,53%	0,52%	1,58%	0,38%	4,52%	3,87%
De R$ 900.000,01 a R$ 1.080.000,00 	12,42%	0,57%	0,57%	1,73%	0,40%	4,92%	4,23%
De R$ 1.080.000,01 a R$ 1.260.000,00 	12,54%	0,59%	0,56%	1,74%	0,42%	4,97%	4,26%
De R$ 1.260.000,01 a R$ 1.440.000,00 	12,68%	0,59%	0,57%	1,76%	0,42%	5,03%	4,31%
De R$ 1.440.000,01 a R$ 1.620.000,00 	13,55%	0,63%	0,61%	1,88%	0,45%	5,37%	4,61%
De R$ 1.620.000,01 a R$ 1.800.000,00 	13,68%	0,63%	0,64%	1,89%	0,45%	5,42%	4,65%
De R$ 1.800.000,01 a R$ 1.980.000,00 	14,93%	0,69%	0,69%	2,07%	0,50%	5,98%	5,00%
De R$ 1.980.000,01 a R$ 2.160.000,00 	15,06%	0,69%	0,69%	2,09%	0,50%	6,09%	5,00%
De R$ 2.160.000,01 a R$ 2.340.000,00 	15,20%	0,71%	0,70%	2,10%	0,50%	6,19%	5,00%
De R$ 2.340.000,01 a R$ 2.520.000,00 	15,35%	0,71%	0,70%	2,13%	0,51%	6,30%	5,00%
De R$ 2.520.000,01 a R$ 2.700.000,00 	15,48%	0,72%	0,70%	2,15%	0,51%	6,40%	5,00%
De R$ 2.700.000,01 a R$ 2.880.000,00 	16,85%	0,78%	0,76%	2,34%	0,56%	7,41%	5,00%
De R$ 2.880.000,01 a R$ 3.060.000,00 	16,98%	0,78%	0,78%	2,36%	0,56%	7,50%	5,00%
De R$ 3.060.000,01 a R$ 3.240.000,00 	17,13%	0,80%	0,79%	2,37%	0,57%	7,60%	5,00%
De R$ 3.240.000,01 a R$ 3.420.000,00 	17,27%	0,80%	0,79%	2,40%	0,57%	7,71%	5,00%
De R$ 3.420.000,01 a R$ 3.600.000,00 	17,42%	0,81%	0,79%	2,42%	0,57%	7,83%	5,00%</t>
        </r>
        <r>
          <rPr>
            <b/>
            <sz val="10"/>
            <color rgb="FF000000"/>
            <rFont val="Arial"/>
            <family val="2"/>
            <charset val="1"/>
          </rPr>
          <t>É aconselhável buscar auxilio do setor contábil do órgão para aferição dos tributos.</t>
        </r>
      </text>
    </comment>
    <comment ref="B133" authorId="0">
      <text>
        <r>
          <rPr>
            <sz val="10"/>
            <color rgb="FF000000"/>
            <rFont val="Arial"/>
            <family val="2"/>
            <charset val="1"/>
          </rPr>
          <t>Serviços de Limpeza devem usar o Quadro 6 da Planilha modelo da IN  05/2017 ( esta planilha já está configurada na aba por M²).
Serviços de Vigilância devem usar o quadro 5 da  da Planilha modelo da IN  05/2017</t>
        </r>
      </text>
    </comment>
  </commentList>
</comments>
</file>

<file path=xl/sharedStrings.xml><?xml version="1.0" encoding="utf-8"?>
<sst xmlns="http://schemas.openxmlformats.org/spreadsheetml/2006/main" count="4399" uniqueCount="269">
  <si>
    <t>NOME DA EMPRESA:</t>
  </si>
  <si>
    <t>XXXXXXXXXXX</t>
  </si>
  <si>
    <t>DATA DA PROPOSTA</t>
  </si>
  <si>
    <t>Dados do Processo/ licitação</t>
  </si>
  <si>
    <t>A</t>
  </si>
  <si>
    <t>Número do Processo</t>
  </si>
  <si>
    <t>AS CÉLULAS EM VERMELHO ESTÃO LIBERADAS PARA ALTERAÇÃO PELO</t>
  </si>
  <si>
    <t>B</t>
  </si>
  <si>
    <t>Licitação Número- (Pregão eletrônico)</t>
  </si>
  <si>
    <t>C</t>
  </si>
  <si>
    <t>data e hora da realização do certame</t>
  </si>
  <si>
    <t>Dia XX/XX/2017 às XX:XX</t>
  </si>
  <si>
    <t>Descriminação dos serviços</t>
  </si>
  <si>
    <t>Data de apresentação da proposta</t>
  </si>
  <si>
    <t>________/______/________</t>
  </si>
  <si>
    <t>Município/UF</t>
  </si>
  <si>
    <t>Ano Acordo, Conv. ou Sent. Normat. Dis. Coletivo</t>
  </si>
  <si>
    <t>D</t>
  </si>
  <si>
    <r>
      <rPr>
        <sz val="12"/>
        <rFont val="Arial"/>
        <family val="2"/>
        <charset val="1"/>
      </rPr>
      <t>N</t>
    </r>
    <r>
      <rPr>
        <strike/>
        <sz val="12"/>
        <rFont val="Arial"/>
        <family val="2"/>
        <charset val="1"/>
      </rPr>
      <t>º</t>
    </r>
    <r>
      <rPr>
        <sz val="12"/>
        <rFont val="Arial"/>
        <family val="2"/>
        <charset val="1"/>
      </rPr>
      <t>de meses de execução contratual</t>
    </r>
  </si>
  <si>
    <t>Identificação dos serviços</t>
  </si>
  <si>
    <t>Tipo de Serviço</t>
  </si>
  <si>
    <t>Unidade de Medida</t>
  </si>
  <si>
    <t/>
  </si>
  <si>
    <t>Postos/ M²</t>
  </si>
  <si>
    <t>Mão-de-obra vinculada à execução contratual </t>
  </si>
  <si>
    <t>Dados comp. p/ composição dos custos referente à mão-de-obra</t>
  </si>
  <si>
    <t>Classificação Brasileira de Ocupações (CBO)</t>
  </si>
  <si>
    <t>Salario Normativo da Categoria Profissional</t>
  </si>
  <si>
    <t>Categ. Prof. ( vinculada à execução contratual )/n° CCT</t>
  </si>
  <si>
    <t>Data-base da categ.( dia/mês/ano )</t>
  </si>
  <si>
    <t>Módulo 1- Composição da Remuneração</t>
  </si>
  <si>
    <t>Salário- Base</t>
  </si>
  <si>
    <t>Adicional de periculosidade(lei 12.740/2012</t>
  </si>
  <si>
    <t>Sem Periculosidade</t>
  </si>
  <si>
    <t>Adicional de insalubridade</t>
  </si>
  <si>
    <t>Grau</t>
  </si>
  <si>
    <t>Percentual</t>
  </si>
  <si>
    <t>Salário Mínimo</t>
  </si>
  <si>
    <t>Adicional noturno</t>
  </si>
  <si>
    <t>Sem Insalubridade</t>
  </si>
  <si>
    <t>E</t>
  </si>
  <si>
    <t>Adicional de Hora Noturna Reduzida</t>
  </si>
  <si>
    <t>F</t>
  </si>
  <si>
    <t>H</t>
  </si>
  <si>
    <t>Outros ( especificar )</t>
  </si>
  <si>
    <t>TOTAL</t>
  </si>
  <si>
    <t>Módulo 2 -Encargos e  Benefícios Anuais, Mensais e Diários</t>
  </si>
  <si>
    <t>2.1</t>
  </si>
  <si>
    <t>Submódulo 2.1 – 13° ( décimo terceiro) Salário, Férias e Adicional de Férias</t>
  </si>
  <si>
    <t>13º salário (lei 4090/62)</t>
  </si>
  <si>
    <t>Férias e Terço Constitucional de Férias .</t>
  </si>
  <si>
    <t>Incidência do Submódulo 2.2  sobre 13° e Férias+ 1/3</t>
  </si>
  <si>
    <t>2.2</t>
  </si>
  <si>
    <t>Submódulo 2.2 – Encargos Previdenciários (GPS), Fundo de Garantia por Tempo de Serviço (FGTS) e outras contribuições</t>
  </si>
  <si>
    <t>INSS</t>
  </si>
  <si>
    <t>SESI ou SESC</t>
  </si>
  <si>
    <t>OPTANTE PELO SIMPLES? LEIA ESSE COMENTÁRIO</t>
  </si>
  <si>
    <t>SENAI ou SENAC</t>
  </si>
  <si>
    <t>INCRA</t>
  </si>
  <si>
    <t>SALÁRIO EDUCAÇÃO</t>
  </si>
  <si>
    <t>FGTS</t>
  </si>
  <si>
    <t>G</t>
  </si>
  <si>
    <t>SAT</t>
  </si>
  <si>
    <t>SEBRAE</t>
  </si>
  <si>
    <t>2.3</t>
  </si>
  <si>
    <t>Submódulo 2.3-  Benefícios Mensais e Diários.</t>
  </si>
  <si>
    <t>.</t>
  </si>
  <si>
    <t>dias</t>
  </si>
  <si>
    <t>Qt. diária</t>
  </si>
  <si>
    <t>valor</t>
  </si>
  <si>
    <t>desconto</t>
  </si>
  <si>
    <t>Transporte</t>
  </si>
  <si>
    <t>(Desconto)</t>
  </si>
  <si>
    <t>Total</t>
  </si>
  <si>
    <t>Auxílio alimentação (vales, cesta básica etc)</t>
  </si>
  <si>
    <t>total</t>
  </si>
  <si>
    <t>Auxílio alimentação</t>
  </si>
  <si>
    <t>Outros (Contribuição Patronal)</t>
  </si>
  <si>
    <t>Seguro de vida, invalidez e funeral</t>
  </si>
  <si>
    <t>Quadro -  Resumo Módulo 2 -Encargos e  Benefícios Anuais, Mensais e Diários</t>
  </si>
  <si>
    <t>13° Salário, Férias e Adicional de Férias</t>
  </si>
  <si>
    <t>GPS, FGTS e outras contribuições</t>
  </si>
  <si>
    <t>Beneficio Mensais e Diários.</t>
  </si>
  <si>
    <t>Módulo 3 - Provisão para Rescisão</t>
  </si>
  <si>
    <t>Aviso prévio Indenizado</t>
  </si>
  <si>
    <t>Incidência do FGTS sobre aviso prévio indenizado</t>
  </si>
  <si>
    <t>Multa sobre FGTS  e contribuição social sobre o aviso prévio Indenizado</t>
  </si>
  <si>
    <t>Aviso Previo Trabalhado</t>
  </si>
  <si>
    <t>Incidência do Submódulo 2.2  sobre aviso prévio trabalhado.</t>
  </si>
  <si>
    <t>Multa sobre FGTS e contribuição social sobre aviso prévio Trabalhado</t>
  </si>
  <si>
    <t>Módulo 4-  Custo de Reposição do Profissional Ausente</t>
  </si>
  <si>
    <t>4.1</t>
  </si>
  <si>
    <t>Submódulo 4.1  – Ausências Legais</t>
  </si>
  <si>
    <t>Férias</t>
  </si>
  <si>
    <t>Ausências Legais</t>
  </si>
  <si>
    <t>Dias de ausência por ano</t>
  </si>
  <si>
    <t>Percentual de ocorrência por ano</t>
  </si>
  <si>
    <t>Licença paternidade</t>
  </si>
  <si>
    <t>Ausência por acidente de trabalho</t>
  </si>
  <si>
    <t>Afastamento Maternidade</t>
  </si>
  <si>
    <t>Ausência por doença</t>
  </si>
  <si>
    <t>Outros (especificar)</t>
  </si>
  <si>
    <t>Sub Total</t>
  </si>
  <si>
    <t>Incidência do Sub modulo 2.2 sobre o custo da reposição</t>
  </si>
  <si>
    <t>4.2</t>
  </si>
  <si>
    <t>Submódulo 4.2   – Intrajornada</t>
  </si>
  <si>
    <t>Intervalo para repouso ou alimentação</t>
  </si>
  <si>
    <t>Incidência do Sub modulo 2.2 sobre Intrajornada</t>
  </si>
  <si>
    <t>Quadro -  Resumo Módulo 4 - Custo de Reposição do Profissional Ausente</t>
  </si>
  <si>
    <t>Intrajornada</t>
  </si>
  <si>
    <t>Módulo 5 - Insumos Diversos</t>
  </si>
  <si>
    <t>Uniformes/Crachás</t>
  </si>
  <si>
    <t>Materiais custo estimado por funcionários</t>
  </si>
  <si>
    <t>Equipamentos</t>
  </si>
  <si>
    <t>6 - Custos Indiretos, Tributários e Lucro (CITL)</t>
  </si>
  <si>
    <t>Custos Indiretos</t>
  </si>
  <si>
    <t>Lucro</t>
  </si>
  <si>
    <t>Tributos total</t>
  </si>
  <si>
    <t>C.1</t>
  </si>
  <si>
    <t>IRPJ</t>
  </si>
  <si>
    <t>C.2</t>
  </si>
  <si>
    <t>PIS</t>
  </si>
  <si>
    <t>C.3</t>
  </si>
  <si>
    <t>COFINS</t>
  </si>
  <si>
    <t>C.4</t>
  </si>
  <si>
    <t>CSLL</t>
  </si>
  <si>
    <t>C.5</t>
  </si>
  <si>
    <t>ISS</t>
  </si>
  <si>
    <t>QUADRO RESUMO DO CUSTO POR EMPREGADO</t>
  </si>
  <si>
    <t>Módulo 2 – Encargos e Beneficio Anuais, Mensais e Diários</t>
  </si>
  <si>
    <t>Módulo 3- Previsão para rescisão</t>
  </si>
  <si>
    <t>Módulo 4- Custo de Reposição do Profissional Ausente</t>
  </si>
  <si>
    <t>sub total</t>
  </si>
  <si>
    <t>Custos indiretos, Tributos e Lucros</t>
  </si>
  <si>
    <t>Valor por Empregado.</t>
  </si>
  <si>
    <t>Quadro resumo - VALOR MENSAL DOS SERVIÇOS</t>
  </si>
  <si>
    <t>Valor proposto por empregados por posto</t>
  </si>
  <si>
    <t>Qt. empregado/posto</t>
  </si>
  <si>
    <t>Valor posto</t>
  </si>
  <si>
    <t>Qt postos</t>
  </si>
  <si>
    <t>Valor total do serviço</t>
  </si>
  <si>
    <t>(A)</t>
  </si>
  <si>
    <t>(B)</t>
  </si>
  <si>
    <t>( C )</t>
  </si>
  <si>
    <t>(D) = (B  X C)</t>
  </si>
  <si>
    <t>(E)</t>
  </si>
  <si>
    <t>( F ) = (D X E)</t>
  </si>
  <si>
    <t>VALOR MENSAL DOS SERVIÇOS</t>
  </si>
  <si>
    <t>Quadro - demonstrativo - VALOR GLOBAL DA PROPOSTA</t>
  </si>
  <si>
    <t>Descrição</t>
  </si>
  <si>
    <t>VALOR (R$)</t>
  </si>
  <si>
    <t>Valor proposto por unidade de medida</t>
  </si>
  <si>
    <t>Valor mensal do serviço</t>
  </si>
  <si>
    <t>Valor global da proposta (valor mensal x n.º de meses do contrato)</t>
  </si>
  <si>
    <t>MOSSORÓ/RN</t>
  </si>
  <si>
    <t>Adicional de Hora Extra (50%)</t>
  </si>
  <si>
    <t>XX/XX/2018</t>
  </si>
  <si>
    <t>RN000497/2017</t>
  </si>
  <si>
    <t>01/11/2018</t>
  </si>
  <si>
    <t>RSR sobre Hora Noturna</t>
  </si>
  <si>
    <t>Adicional de Hora Extra No Feriado Trabalhado(100%)</t>
  </si>
  <si>
    <t>I</t>
  </si>
  <si>
    <t>RSR sobre Horas Extras (50% e 100%)</t>
  </si>
  <si>
    <t>Ocorrências %</t>
  </si>
  <si>
    <t>EPI'S</t>
  </si>
  <si>
    <t>J</t>
  </si>
  <si>
    <t>L</t>
  </si>
  <si>
    <t>Sobreaviso</t>
  </si>
  <si>
    <t>ENCANADOR</t>
  </si>
  <si>
    <t>CBO 7241-10</t>
  </si>
  <si>
    <t>RN000112/2018</t>
  </si>
  <si>
    <t>01/01/2019</t>
  </si>
  <si>
    <t>MANUTENÇÃO PREDIAL</t>
  </si>
  <si>
    <t>2017/2018</t>
  </si>
  <si>
    <t>2018/2018</t>
  </si>
  <si>
    <t>ASG</t>
  </si>
  <si>
    <t xml:space="preserve">CBO </t>
  </si>
  <si>
    <t>BENEFÍCIO SOCIAL FAMILIAR(CLÁUS. 18ª) E SOCIAL(CLÁUS.19ª)</t>
  </si>
  <si>
    <t>CBO</t>
  </si>
  <si>
    <t>AGENTE DE LIMPEZA E DESINFECÇÃO</t>
  </si>
  <si>
    <t>LIMPEZA E CONSERVAÇÃO</t>
  </si>
  <si>
    <t>JARDINEIRO</t>
  </si>
  <si>
    <t>ENCARREGADO</t>
  </si>
  <si>
    <t>COPEIRA</t>
  </si>
  <si>
    <t>CARAÚBAS/RN</t>
  </si>
  <si>
    <t>PAU DOS FERROS/RN</t>
  </si>
  <si>
    <t>ANGICOS/RN</t>
  </si>
  <si>
    <r>
      <t>Adicional de insalubridade</t>
    </r>
    <r>
      <rPr>
        <sz val="12"/>
        <color rgb="FFFF0000"/>
        <rFont val="Arial"/>
        <family val="2"/>
      </rPr>
      <t xml:space="preserve"> (verificar percentual aplicado conforme avaliação)</t>
    </r>
  </si>
  <si>
    <t>Grupo</t>
  </si>
  <si>
    <t>item</t>
  </si>
  <si>
    <t xml:space="preserve">Tipo de
Serviço      (A)
</t>
  </si>
  <si>
    <t>Valor Proposto
(B)</t>
  </si>
  <si>
    <t>Qtde
(C)</t>
  </si>
  <si>
    <t>Valor Mensal
do Serviço
(D) = (C x D)</t>
  </si>
  <si>
    <t>VALOR TOTAL MENSAL DOS SERVIÇOS (GRUPO 01)</t>
  </si>
  <si>
    <t>VALOR TOTAL MENSAL DOS SERVIÇOS (GRUPO 02)</t>
  </si>
  <si>
    <t>Auxiliar de Serviços Gerais - ASG</t>
  </si>
  <si>
    <t>Agente de Limpeza e Desinfecção</t>
  </si>
  <si>
    <t>Jardineiro</t>
  </si>
  <si>
    <t>Encarregado</t>
  </si>
  <si>
    <t>Copeira</t>
  </si>
  <si>
    <t>QUADRO RESUMO  -  VALORES  DOS SERVIÇOS(MENSAL E ANUAL)</t>
  </si>
  <si>
    <t xml:space="preserve">VALOR ANUAL DOS SERVIÇOS (12 MESES) </t>
  </si>
  <si>
    <t>P</t>
  </si>
  <si>
    <t xml:space="preserve">O preenchimento da planilha  e a elaboração dos cálculos é de total responsabilidade do licitante. </t>
  </si>
  <si>
    <t>Eventuais custos não previstos expressamente na memória de cálculo devem ser cobertos pelo LDI (Lucro e Despesas Indiretas).</t>
  </si>
  <si>
    <t>ISS - Município de Angicos  5%</t>
  </si>
  <si>
    <t>Os tributos (ISS, COFINS e PIS) foram definidos utilizando o regime de tributação de Lucro PRESUMIDO. A licitante deve elaborar sua proposta e, por conseguinte, sua planilha com base no regime de tributação ao qual estará submetida durante a execução do contrato.</t>
  </si>
  <si>
    <t>Em observância ao Acórdão nº 2622/2013 – TCU – Plenário as empresas optantes pelo Simples Nacional:</t>
  </si>
  <si>
    <t>1 -  a planilha deverá estar acompanhada da Declaração Anual do Simples Nacional – 2018</t>
  </si>
  <si>
    <t xml:space="preserve">2 -  devem apresentar os percentuais de ISS, PIS e COFINS compatíveis com as alíquotas a que a empresa está obrigada a recolher, previstas no Anexo IV da Lei Complementar n. 126/2006. </t>
  </si>
  <si>
    <t>3- A composição dos encargos sociais não inclua os gastos relativos às contribuições que essas empresas estão dispensadas de recolhimento (Sesi, Senai, Sebrae etc.), conforme dispõe o art. 13, §, da referida Lei Complementar.</t>
  </si>
  <si>
    <t>Observação item 4.1, alínea A: Considerando que o valor pago ao substituto durante as férias do empregado já consta na remuneração (módulo 1) e que o valor pago ao empregado para fazer frente ao custo de suas férias acrescidas do terço constitucional já foram apuradas na letra B do submódulo 2.1, não existe o custo a ser apontado nesta rubrica. No entanto, somente será devido o 1/3 constitucional do posto , conforme previsão no item 13.15 do Termo de Referência, para este contrato- onde não haverá substituição de profissional.</t>
  </si>
  <si>
    <t>5- O valor referente às diária (módulo 6 ) é fixo conforme Convenção Coletiva RN000275/2018 e a quantidade de diárias corresponde ao limite previsto no Termo de Referência (13 diárias), conforme item 05, Tabela 01:Apresentação dos cargos, quantitativos e memória de cálculo de horas extras, adicional noturno e diárias por posto/mês.</t>
  </si>
  <si>
    <t>MEMÓRIA DE CÁLCULO -FATOR DE DIVISÃO PARA FINS DE ENQUADRAMENTO DE REGIME DE TRIBUÇÃO(REAL,PRESUMIDO,SIMPLES)</t>
  </si>
  <si>
    <t>Tributação</t>
  </si>
  <si>
    <t>Alíquota PIS</t>
  </si>
  <si>
    <t>Alíquota COFINS</t>
  </si>
  <si>
    <t>Alíquota ISS</t>
  </si>
  <si>
    <t>Fator de Divisão</t>
  </si>
  <si>
    <t>Lucro Real</t>
  </si>
  <si>
    <t>Lucro Presumido</t>
  </si>
  <si>
    <t>SIMPLES(conforme enquadramento)</t>
  </si>
  <si>
    <t>6- O licitante deverá aplicar o fator de divisão adequado  ao seu  regime tributário.Sendo 0,8575 para empresas do Lucro Real, 0,9135 para empresas do Lucro Presumido e 0,9221 (dependerá do enquadramento do Simples)</t>
  </si>
  <si>
    <t>Programa de Qualificação Profissional e Marketing-PQM</t>
  </si>
  <si>
    <t>7- Levando em consideração a vigência contratual prevista no art.57 da Lei nº 8.666/1993, a rbrica férias tem como objetivo principal suprir a necessidade do pagamento das férias remuneradas ao final do contrato de 12 meses.Esta rubrica, quando da prorrogação contratual, torna-se o custo não-renovável. (IN n07 de 20 de setembro de 2018).</t>
  </si>
  <si>
    <t>Incidência de GPS, FGTS e outras constribuições sobre o Aviso Prévio Trabalhado</t>
  </si>
  <si>
    <t>Substituto na cobertura de Férias</t>
  </si>
  <si>
    <t>Substituto na cobertura de Ausências Legais</t>
  </si>
  <si>
    <t>Substituto na cobertura de Licença paternidade</t>
  </si>
  <si>
    <t>Substituto na cobertura de Ausência por acidente de trabalho</t>
  </si>
  <si>
    <t>Substituto na cobertura de Afastamento Maternidade</t>
  </si>
  <si>
    <t>Substituto na cobertura de Ausência por doença</t>
  </si>
  <si>
    <t>Submódulo 4.2   – Substituto na Intrajornada</t>
  </si>
  <si>
    <t>Substituto na Intrajornada</t>
  </si>
  <si>
    <t>Substituto na cobertura de Intervalo para repouso ou alimentação</t>
  </si>
  <si>
    <t>Substituto nas Ausências Legais</t>
  </si>
  <si>
    <t>Submódulo 4.1  – Substituto na Ausências Legais</t>
  </si>
  <si>
    <t>,</t>
  </si>
  <si>
    <t xml:space="preserve"> R$ - </t>
  </si>
  <si>
    <t>PP</t>
  </si>
  <si>
    <r>
      <t>Adicional de insalubridade</t>
    </r>
    <r>
      <rPr>
        <sz val="12"/>
        <color theme="1"/>
        <rFont val="Arial"/>
        <family val="2"/>
      </rPr>
      <t xml:space="preserve"> (verificar percentual aplicado conforme avaliação)</t>
    </r>
  </si>
  <si>
    <t>5143-20</t>
  </si>
  <si>
    <t>6220-10</t>
  </si>
  <si>
    <t>4101-05</t>
  </si>
  <si>
    <t>5134-25</t>
  </si>
  <si>
    <t>ITEM</t>
  </si>
  <si>
    <t>VALOR UNITÁRIO</t>
  </si>
  <si>
    <t>QUANTIDADE</t>
  </si>
  <si>
    <t>Outros (especificar) Relógio de Ponto</t>
  </si>
  <si>
    <t>AUXILIAR DE LIMPEZA</t>
  </si>
  <si>
    <t>Benefício Social Familiar</t>
  </si>
  <si>
    <t xml:space="preserve">Benefício Social Familiar </t>
  </si>
  <si>
    <t>ISS - Município de Pau dos Ferros  5%</t>
  </si>
  <si>
    <t>Multa do FGTS sobre o aviso prévio Indenizado</t>
  </si>
  <si>
    <t>Multa do FGTS sobre aviso prévio Trabalhado</t>
  </si>
  <si>
    <t>Não há serviço de transporte no Município de Pau dos Ferros</t>
  </si>
  <si>
    <t>Não há serviço de transporte no município de Pau dos Ferros</t>
  </si>
  <si>
    <t>GRUPO</t>
  </si>
  <si>
    <t>DESCRIÇÃO/ESPECIFICAÇÃO</t>
  </si>
  <si>
    <t>VALOR ESTIMADO MENSAL</t>
  </si>
  <si>
    <t>VALOR ESTIMADO ANUAL   (12 MESES)</t>
  </si>
  <si>
    <t>COPEIRO</t>
  </si>
  <si>
    <t>2021/2022</t>
  </si>
  <si>
    <t>RN000063/2021</t>
  </si>
  <si>
    <t>01/01/2021</t>
  </si>
  <si>
    <t>Outros</t>
  </si>
  <si>
    <t>Auxílio Saúde</t>
  </si>
  <si>
    <t>Salário Mínimo PISO I</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</si>
</sst>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4" formatCode="_-&quot;R$&quot;\ * #,##0.00_-;\-&quot;R$&quot;\ * #,##0.00_-;_-&quot;R$&quot;\ * &quot;-&quot;??_-;_-@_-"/>
    <numFmt numFmtId="43" formatCode="_-* #,##0.00_-;\-* #,##0.00_-;_-* &quot;-&quot;??_-;_-@_-"/>
    <numFmt numFmtId="164" formatCode="dd/mm/yy"/>
    <numFmt numFmtId="165" formatCode="[$R$-416]\ #,##0.00;[Red]\-[$R$-416]\ #,##0.00"/>
    <numFmt numFmtId="166" formatCode="&quot; R$ &quot;* #,##0.00\ ;&quot;-R$ &quot;* #,##0.00\ ;&quot; R$ &quot;* \-#\ ;@\ "/>
    <numFmt numFmtId="167" formatCode="&quot; R$&quot;* #,##0.00\ ;&quot; R$&quot;* \(#,##0.00\);&quot; R$&quot;* \-#\ ;@\ "/>
    <numFmt numFmtId="168" formatCode="#,##0.00%"/>
    <numFmt numFmtId="169" formatCode="&quot; R$ &quot;* #,##0.00\ ;&quot;-R$ &quot;* #,##0.00\ ;&quot; R$ &quot;* \-#.0\ ;@\ "/>
    <numFmt numFmtId="170" formatCode="0.00000%"/>
    <numFmt numFmtId="171" formatCode="[$R$-416]#,##0.00;[Red]\-[$R$-416]#,##0.00"/>
    <numFmt numFmtId="172" formatCode="&quot;R$&quot;\ #,##0.00"/>
    <numFmt numFmtId="173" formatCode="0.000%"/>
  </numFmts>
  <fonts count="31" x14ac:knownFonts="1">
    <font>
      <sz val="11"/>
      <color theme="1"/>
      <name val="Calibri"/>
      <family val="2"/>
      <scheme val="minor"/>
    </font>
    <font>
      <sz val="11"/>
      <color theme="1"/>
      <name val="Calibri"/>
      <family val="2"/>
      <scheme val="minor"/>
    </font>
    <font>
      <sz val="12"/>
      <color rgb="FF000000"/>
      <name val="Arial"/>
      <family val="2"/>
      <charset val="1"/>
    </font>
    <font>
      <b/>
      <sz val="12"/>
      <color rgb="FF000000"/>
      <name val="Arial"/>
      <family val="2"/>
      <charset val="1"/>
    </font>
    <font>
      <b/>
      <sz val="12"/>
      <color rgb="FFFF0000"/>
      <name val="Arial"/>
      <family val="2"/>
      <charset val="1"/>
    </font>
    <font>
      <sz val="12"/>
      <name val="Arial"/>
      <family val="2"/>
      <charset val="1"/>
    </font>
    <font>
      <sz val="12"/>
      <color rgb="FFFF0000"/>
      <name val="Arial"/>
      <family val="2"/>
      <charset val="1"/>
    </font>
    <font>
      <b/>
      <sz val="12"/>
      <color rgb="FF00FF00"/>
      <name val="Arial"/>
      <family val="2"/>
      <charset val="1"/>
    </font>
    <font>
      <strike/>
      <sz val="12"/>
      <name val="Arial"/>
      <family val="2"/>
      <charset val="1"/>
    </font>
    <font>
      <b/>
      <sz val="12"/>
      <name val="Arial"/>
      <family val="2"/>
      <charset val="1"/>
    </font>
    <font>
      <b/>
      <sz val="12"/>
      <color rgb="FF003300"/>
      <name val="Arial"/>
      <family val="2"/>
      <charset val="1"/>
    </font>
    <font>
      <sz val="10"/>
      <color rgb="FFFF0000"/>
      <name val="Arial"/>
      <family val="2"/>
      <charset val="1"/>
    </font>
    <font>
      <sz val="10"/>
      <color rgb="FF000000"/>
      <name val="Arial"/>
      <family val="2"/>
      <charset val="1"/>
    </font>
    <font>
      <b/>
      <sz val="10"/>
      <color rgb="FF000000"/>
      <name val="Arial"/>
      <family val="2"/>
      <charset val="1"/>
    </font>
    <font>
      <b/>
      <sz val="9"/>
      <color rgb="FF000000"/>
      <name val="Tahoma"/>
      <family val="2"/>
      <charset val="1"/>
    </font>
    <font>
      <sz val="9"/>
      <color rgb="FF000000"/>
      <name val="Tahoma"/>
      <family val="2"/>
      <charset val="1"/>
    </font>
    <font>
      <b/>
      <u/>
      <sz val="10"/>
      <color rgb="FF000000"/>
      <name val="Arial"/>
      <family val="2"/>
      <charset val="1"/>
    </font>
    <font>
      <b/>
      <sz val="12"/>
      <color rgb="FFFF0000"/>
      <name val="Tahoma"/>
      <family val="2"/>
      <charset val="1"/>
    </font>
    <font>
      <b/>
      <sz val="12"/>
      <color rgb="FF000000"/>
      <name val="Tahoma"/>
      <family val="2"/>
      <charset val="1"/>
    </font>
    <font>
      <b/>
      <sz val="10"/>
      <color rgb="FFFF0000"/>
      <name val="Arial"/>
      <family val="2"/>
      <charset val="1"/>
    </font>
    <font>
      <sz val="9"/>
      <color indexed="81"/>
      <name val="Tahoma"/>
      <family val="2"/>
    </font>
    <font>
      <b/>
      <sz val="9"/>
      <color indexed="81"/>
      <name val="Tahoma"/>
      <family val="2"/>
    </font>
    <font>
      <sz val="12"/>
      <color rgb="FFFF0000"/>
      <name val="Arial"/>
      <family val="2"/>
    </font>
    <font>
      <b/>
      <sz val="11"/>
      <color theme="1"/>
      <name val="Calibri"/>
      <family val="2"/>
      <scheme val="minor"/>
    </font>
    <font>
      <sz val="12"/>
      <color rgb="FF000000"/>
      <name val="Arial"/>
      <family val="2"/>
    </font>
    <font>
      <b/>
      <sz val="11"/>
      <color rgb="FFFF0000"/>
      <name val="Calibri"/>
      <family val="2"/>
      <scheme val="minor"/>
    </font>
    <font>
      <b/>
      <u/>
      <sz val="11"/>
      <color theme="1"/>
      <name val="Calibri"/>
      <family val="2"/>
      <scheme val="minor"/>
    </font>
    <font>
      <sz val="12"/>
      <color theme="1"/>
      <name val="Arial"/>
      <family val="2"/>
      <charset val="1"/>
    </font>
    <font>
      <b/>
      <sz val="12"/>
      <color theme="1"/>
      <name val="Arial"/>
      <family val="2"/>
      <charset val="1"/>
    </font>
    <font>
      <sz val="10"/>
      <color theme="1"/>
      <name val="Arial"/>
      <family val="2"/>
      <charset val="1"/>
    </font>
    <font>
      <sz val="12"/>
      <color theme="1"/>
      <name val="Arial"/>
      <family val="2"/>
    </font>
  </fonts>
  <fills count="9">
    <fill>
      <patternFill patternType="none"/>
    </fill>
    <fill>
      <patternFill patternType="gray125"/>
    </fill>
    <fill>
      <patternFill patternType="solid">
        <fgColor rgb="FF00B0F0"/>
        <bgColor rgb="FF33CCCC"/>
      </patternFill>
    </fill>
    <fill>
      <patternFill patternType="solid">
        <fgColor rgb="FFBFBFBF"/>
        <bgColor rgb="FFCCCCFF"/>
      </patternFill>
    </fill>
    <fill>
      <patternFill patternType="solid">
        <fgColor rgb="FF92D050"/>
        <bgColor rgb="FF33CCCC"/>
      </patternFill>
    </fill>
    <fill>
      <patternFill patternType="solid">
        <fgColor rgb="FFFFFF0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0"/>
        <bgColor indexed="64"/>
      </patternFill>
    </fill>
  </fills>
  <borders count="9">
    <border>
      <left/>
      <right/>
      <top/>
      <bottom/>
      <diagonal/>
    </border>
    <border>
      <left style="hair">
        <color auto="1"/>
      </left>
      <right style="hair">
        <color auto="1"/>
      </right>
      <top style="hair">
        <color auto="1"/>
      </top>
      <bottom style="hair">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diagonal/>
    </border>
  </borders>
  <cellStyleXfs count="3">
    <xf numFmtId="0" fontId="0" fillId="0" borderId="0"/>
    <xf numFmtId="9" fontId="1" fillId="0" borderId="0" applyFont="0" applyFill="0" applyBorder="0" applyAlignment="0" applyProtection="0"/>
    <xf numFmtId="44" fontId="1" fillId="0" borderId="0" applyFont="0" applyFill="0" applyBorder="0" applyAlignment="0" applyProtection="0"/>
  </cellStyleXfs>
  <cellXfs count="315">
    <xf numFmtId="0" fontId="0" fillId="0" borderId="0" xfId="0"/>
    <xf numFmtId="0" fontId="2" fillId="0" borderId="0" xfId="0" applyFont="1" applyAlignment="1">
      <alignment horizontal="center" vertical="center"/>
    </xf>
    <xf numFmtId="164" fontId="2" fillId="0" borderId="0" xfId="0" applyNumberFormat="1" applyFont="1" applyAlignment="1">
      <alignment horizontal="center" vertical="center"/>
    </xf>
    <xf numFmtId="0" fontId="3" fillId="0" borderId="0" xfId="0" applyFont="1" applyAlignment="1">
      <alignment horizontal="center" vertical="center"/>
    </xf>
    <xf numFmtId="0" fontId="4" fillId="0" borderId="0" xfId="0" applyFont="1" applyAlignment="1" applyProtection="1">
      <alignment horizontal="center" vertical="center"/>
      <protection locked="0"/>
    </xf>
    <xf numFmtId="164" fontId="4" fillId="0" borderId="0" xfId="0" applyNumberFormat="1" applyFont="1" applyAlignment="1">
      <alignment horizontal="center" vertical="center"/>
    </xf>
    <xf numFmtId="0" fontId="2" fillId="0" borderId="0" xfId="0" applyFont="1" applyAlignment="1"/>
    <xf numFmtId="0" fontId="5" fillId="0" borderId="0" xfId="0" applyFont="1" applyAlignment="1">
      <alignment horizontal="left" vertical="center"/>
    </xf>
    <xf numFmtId="0" fontId="2"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pplyAlignment="1" applyProtection="1">
      <alignment horizontal="left" vertical="center"/>
      <protection locked="0"/>
    </xf>
    <xf numFmtId="0" fontId="7" fillId="0" borderId="0" xfId="0" applyFont="1" applyBorder="1" applyAlignment="1">
      <alignment vertical="center"/>
    </xf>
    <xf numFmtId="0" fontId="5" fillId="0" borderId="0" xfId="0" applyFont="1" applyAlignment="1">
      <alignment horizontal="center" vertical="center"/>
    </xf>
    <xf numFmtId="0" fontId="5" fillId="0" borderId="0" xfId="0" applyFont="1" applyAlignment="1">
      <alignment vertical="center"/>
    </xf>
    <xf numFmtId="0" fontId="2" fillId="0" borderId="0" xfId="0" applyFont="1" applyAlignment="1">
      <alignment vertical="center" wrapText="1"/>
    </xf>
    <xf numFmtId="0" fontId="5" fillId="0" borderId="0" xfId="0" applyFont="1" applyAlignment="1">
      <alignment vertical="top" shrinkToFit="1"/>
    </xf>
    <xf numFmtId="0" fontId="9" fillId="0" borderId="0" xfId="0" applyFont="1" applyAlignment="1">
      <alignment vertical="center"/>
    </xf>
    <xf numFmtId="0" fontId="3" fillId="0" borderId="0" xfId="0" applyFont="1" applyAlignment="1">
      <alignment horizontal="left" vertical="top" wrapText="1"/>
    </xf>
    <xf numFmtId="0" fontId="6" fillId="0" borderId="0" xfId="0" applyFont="1" applyAlignment="1" applyProtection="1">
      <alignment vertical="center"/>
      <protection locked="0"/>
    </xf>
    <xf numFmtId="0" fontId="6" fillId="0" borderId="0" xfId="0" applyFont="1" applyAlignment="1">
      <alignment vertical="center"/>
    </xf>
    <xf numFmtId="0" fontId="6" fillId="0" borderId="0" xfId="0" applyFont="1" applyAlignment="1" applyProtection="1">
      <alignment horizontal="left" vertical="top" wrapText="1"/>
      <protection locked="0"/>
    </xf>
    <xf numFmtId="0" fontId="2" fillId="0" borderId="0" xfId="0" applyFont="1" applyAlignment="1">
      <alignment horizontal="left" vertical="top" wrapText="1"/>
    </xf>
    <xf numFmtId="165" fontId="6" fillId="0" borderId="0" xfId="0" applyNumberFormat="1" applyFont="1" applyAlignment="1" applyProtection="1">
      <alignment horizontal="left" vertical="center"/>
      <protection locked="0"/>
    </xf>
    <xf numFmtId="165" fontId="6" fillId="0" borderId="0" xfId="0" applyNumberFormat="1" applyFont="1" applyAlignment="1">
      <alignment horizontal="left" vertical="center"/>
    </xf>
    <xf numFmtId="0" fontId="5" fillId="0" borderId="0" xfId="0" applyFont="1" applyAlignment="1">
      <alignment horizontal="left" vertical="top" wrapText="1"/>
    </xf>
    <xf numFmtId="0" fontId="5" fillId="0" borderId="0" xfId="0" applyFont="1" applyAlignment="1">
      <alignment vertical="center" wrapText="1"/>
    </xf>
    <xf numFmtId="0" fontId="10" fillId="2" borderId="0" xfId="0" applyFont="1" applyFill="1" applyBorder="1" applyAlignment="1">
      <alignment horizontal="center" vertical="center"/>
    </xf>
    <xf numFmtId="0" fontId="5" fillId="0" borderId="0" xfId="0" applyFont="1" applyAlignment="1"/>
    <xf numFmtId="166" fontId="2" fillId="0" borderId="0" xfId="0" applyNumberFormat="1" applyFont="1" applyAlignment="1">
      <alignment vertical="center"/>
    </xf>
    <xf numFmtId="166" fontId="6" fillId="0" borderId="0" xfId="0" applyNumberFormat="1" applyFont="1" applyAlignment="1" applyProtection="1">
      <alignment vertical="center"/>
      <protection locked="0"/>
    </xf>
    <xf numFmtId="0" fontId="6" fillId="0" borderId="1" xfId="0" applyFont="1" applyBorder="1" applyAlignment="1" applyProtection="1">
      <alignment horizontal="center"/>
      <protection locked="0"/>
    </xf>
    <xf numFmtId="10" fontId="11" fillId="0" borderId="1" xfId="0" applyNumberFormat="1" applyFont="1" applyBorder="1" applyAlignment="1" applyProtection="1">
      <alignment horizontal="center"/>
      <protection locked="0"/>
    </xf>
    <xf numFmtId="166" fontId="2" fillId="0" borderId="0" xfId="0" applyNumberFormat="1" applyFont="1" applyAlignment="1" applyProtection="1"/>
    <xf numFmtId="0" fontId="5" fillId="0" borderId="1" xfId="0" applyFont="1" applyBorder="1" applyAlignment="1">
      <alignment horizontal="center"/>
    </xf>
    <xf numFmtId="166" fontId="2" fillId="0" borderId="1" xfId="0" applyNumberFormat="1" applyFont="1" applyBorder="1" applyAlignment="1">
      <alignment horizontal="center" vertical="center"/>
    </xf>
    <xf numFmtId="166" fontId="2" fillId="0" borderId="0" xfId="0" applyNumberFormat="1" applyFont="1" applyAlignment="1"/>
    <xf numFmtId="10" fontId="6" fillId="0" borderId="1" xfId="0" applyNumberFormat="1" applyFont="1" applyBorder="1" applyAlignment="1" applyProtection="1">
      <protection locked="0"/>
    </xf>
    <xf numFmtId="165" fontId="6" fillId="0" borderId="1" xfId="0" applyNumberFormat="1" applyFont="1" applyBorder="1" applyAlignment="1" applyProtection="1">
      <alignment horizontal="center"/>
      <protection locked="0"/>
    </xf>
    <xf numFmtId="166" fontId="6" fillId="0" borderId="0" xfId="0" applyNumberFormat="1" applyFont="1" applyAlignment="1" applyProtection="1">
      <protection locked="0"/>
    </xf>
    <xf numFmtId="0" fontId="2" fillId="3" borderId="2" xfId="0" applyFont="1" applyFill="1" applyBorder="1" applyAlignment="1">
      <alignment horizontal="center" vertical="center"/>
    </xf>
    <xf numFmtId="0" fontId="9" fillId="3" borderId="3" xfId="0" applyFont="1" applyFill="1" applyBorder="1" applyAlignment="1"/>
    <xf numFmtId="0" fontId="5" fillId="3" borderId="3" xfId="0" applyFont="1" applyFill="1" applyBorder="1" applyAlignment="1"/>
    <xf numFmtId="167" fontId="2" fillId="3" borderId="3" xfId="0" applyNumberFormat="1" applyFont="1" applyFill="1" applyBorder="1" applyAlignment="1"/>
    <xf numFmtId="167" fontId="3" fillId="3" borderId="4" xfId="0" applyNumberFormat="1" applyFont="1" applyFill="1" applyBorder="1" applyAlignment="1"/>
    <xf numFmtId="0" fontId="3" fillId="2" borderId="5" xfId="0" applyFont="1" applyFill="1" applyBorder="1" applyAlignment="1">
      <alignment vertical="center"/>
    </xf>
    <xf numFmtId="10" fontId="2" fillId="0" borderId="0" xfId="0" applyNumberFormat="1" applyFont="1" applyAlignment="1">
      <alignment horizontal="center" vertical="center"/>
    </xf>
    <xf numFmtId="167" fontId="2" fillId="0" borderId="0" xfId="0" applyNumberFormat="1" applyFont="1" applyAlignment="1"/>
    <xf numFmtId="10" fontId="2" fillId="0" borderId="0" xfId="0" applyNumberFormat="1" applyFont="1" applyAlignment="1">
      <alignment horizontal="center"/>
    </xf>
    <xf numFmtId="0" fontId="5" fillId="0" borderId="0" xfId="0" applyFont="1" applyBorder="1" applyAlignment="1"/>
    <xf numFmtId="0" fontId="3" fillId="3" borderId="2" xfId="0" applyFont="1" applyFill="1" applyBorder="1" applyAlignment="1">
      <alignment horizontal="left" vertical="center"/>
    </xf>
    <xf numFmtId="0" fontId="9" fillId="3" borderId="2" xfId="0" applyFont="1" applyFill="1" applyBorder="1" applyAlignment="1"/>
    <xf numFmtId="0" fontId="2" fillId="0" borderId="0" xfId="0" applyFont="1" applyBorder="1" applyAlignment="1"/>
    <xf numFmtId="10" fontId="6" fillId="0" borderId="0" xfId="0" applyNumberFormat="1" applyFont="1" applyAlignment="1" applyProtection="1">
      <alignment horizontal="center" vertical="center"/>
      <protection locked="0"/>
    </xf>
    <xf numFmtId="0" fontId="2" fillId="0" borderId="0" xfId="0" applyFont="1" applyAlignment="1">
      <alignment horizontal="left" wrapText="1"/>
    </xf>
    <xf numFmtId="0" fontId="4" fillId="3" borderId="2" xfId="0" applyFont="1" applyFill="1" applyBorder="1" applyAlignment="1"/>
    <xf numFmtId="0" fontId="3" fillId="3" borderId="3" xfId="0" applyFont="1" applyFill="1" applyBorder="1" applyAlignment="1"/>
    <xf numFmtId="166" fontId="3" fillId="3" borderId="3" xfId="0" applyNumberFormat="1" applyFont="1" applyFill="1" applyBorder="1" applyAlignment="1">
      <alignment vertical="center"/>
    </xf>
    <xf numFmtId="10" fontId="3" fillId="3" borderId="3" xfId="0" applyNumberFormat="1" applyFont="1" applyFill="1" applyBorder="1" applyAlignment="1">
      <alignment horizontal="center" vertical="center"/>
    </xf>
    <xf numFmtId="166" fontId="3" fillId="3" borderId="4" xfId="0" applyNumberFormat="1" applyFont="1" applyFill="1" applyBorder="1" applyAlignment="1">
      <alignment vertical="center"/>
    </xf>
    <xf numFmtId="0" fontId="9" fillId="0" borderId="6" xfId="0" applyFont="1" applyBorder="1" applyAlignment="1"/>
    <xf numFmtId="0" fontId="3" fillId="0" borderId="6" xfId="0" applyFont="1" applyBorder="1" applyAlignment="1">
      <alignment horizontal="center"/>
    </xf>
    <xf numFmtId="168" fontId="2" fillId="0" borderId="0" xfId="0" applyNumberFormat="1" applyFont="1" applyAlignment="1">
      <alignment horizontal="left" vertical="center"/>
    </xf>
    <xf numFmtId="49" fontId="2" fillId="0" borderId="0" xfId="0" applyNumberFormat="1" applyFont="1" applyAlignment="1">
      <alignment horizontal="center"/>
    </xf>
    <xf numFmtId="49" fontId="2" fillId="3" borderId="2" xfId="0" applyNumberFormat="1" applyFont="1" applyFill="1" applyBorder="1" applyAlignment="1">
      <alignment horizontal="center"/>
    </xf>
    <xf numFmtId="0" fontId="5" fillId="3" borderId="3" xfId="0" applyFont="1" applyFill="1" applyBorder="1" applyAlignment="1">
      <alignment vertical="center"/>
    </xf>
    <xf numFmtId="165" fontId="9" fillId="3" borderId="4" xfId="0" applyNumberFormat="1" applyFont="1" applyFill="1" applyBorder="1" applyAlignment="1">
      <alignment vertical="center"/>
    </xf>
    <xf numFmtId="0" fontId="3" fillId="0" borderId="0" xfId="0" applyFont="1" applyAlignment="1">
      <alignment horizontal="left" vertical="center"/>
    </xf>
    <xf numFmtId="165" fontId="5" fillId="0" borderId="0" xfId="0" applyNumberFormat="1" applyFont="1" applyAlignment="1">
      <alignment vertical="center"/>
    </xf>
    <xf numFmtId="0" fontId="3" fillId="2" borderId="0" xfId="0" applyFont="1" applyFill="1" applyAlignment="1">
      <alignment horizontal="center"/>
    </xf>
    <xf numFmtId="0" fontId="5" fillId="0" borderId="0" xfId="0" applyFont="1" applyAlignment="1">
      <alignment horizontal="left" wrapText="1"/>
    </xf>
    <xf numFmtId="0" fontId="5" fillId="0" borderId="0" xfId="0" applyFont="1" applyAlignment="1">
      <alignment horizontal="left" vertical="center" wrapText="1"/>
    </xf>
    <xf numFmtId="10" fontId="6" fillId="0" borderId="0" xfId="1" applyNumberFormat="1" applyFont="1" applyBorder="1" applyAlignment="1" applyProtection="1">
      <alignment horizontal="center" vertical="center"/>
      <protection locked="0"/>
    </xf>
    <xf numFmtId="169" fontId="2" fillId="0" borderId="0" xfId="0" applyNumberFormat="1" applyFont="1" applyAlignment="1">
      <alignment vertical="center"/>
    </xf>
    <xf numFmtId="0" fontId="4" fillId="3" borderId="2" xfId="0" applyFont="1" applyFill="1" applyBorder="1" applyAlignment="1">
      <alignment vertical="center"/>
    </xf>
    <xf numFmtId="166" fontId="2" fillId="3" borderId="3" xfId="0" applyNumberFormat="1" applyFont="1" applyFill="1" applyBorder="1" applyAlignment="1">
      <alignment vertical="center"/>
    </xf>
    <xf numFmtId="0" fontId="3" fillId="2" borderId="0" xfId="0" applyFont="1" applyFill="1" applyBorder="1" applyAlignment="1">
      <alignment vertical="center"/>
    </xf>
    <xf numFmtId="0" fontId="6" fillId="0" borderId="6" xfId="0" applyFont="1" applyBorder="1" applyAlignment="1" applyProtection="1">
      <alignment horizontal="center" vertical="center" wrapText="1"/>
      <protection locked="0"/>
    </xf>
    <xf numFmtId="10" fontId="6" fillId="0" borderId="6" xfId="0" applyNumberFormat="1" applyFont="1" applyBorder="1" applyAlignment="1" applyProtection="1">
      <alignment horizontal="center" vertical="center" wrapText="1"/>
      <protection locked="0"/>
    </xf>
    <xf numFmtId="10" fontId="6" fillId="0" borderId="6" xfId="1" applyNumberFormat="1" applyFont="1" applyBorder="1" applyAlignment="1" applyProtection="1">
      <alignment horizontal="center" vertical="center" wrapText="1"/>
      <protection locked="0"/>
    </xf>
    <xf numFmtId="0" fontId="6" fillId="0" borderId="6" xfId="0" applyFont="1" applyBorder="1" applyAlignment="1" applyProtection="1">
      <alignment horizontal="center"/>
      <protection locked="0"/>
    </xf>
    <xf numFmtId="9" fontId="6" fillId="0" borderId="6" xfId="1" applyFont="1" applyBorder="1" applyAlignment="1" applyProtection="1">
      <alignment horizontal="center" vertical="center"/>
      <protection locked="0"/>
    </xf>
    <xf numFmtId="166" fontId="2" fillId="0" borderId="0" xfId="0" applyNumberFormat="1" applyFont="1" applyBorder="1" applyAlignment="1">
      <alignment vertical="center"/>
    </xf>
    <xf numFmtId="166" fontId="6" fillId="0" borderId="6" xfId="0" applyNumberFormat="1" applyFont="1" applyBorder="1" applyAlignment="1" applyProtection="1">
      <alignment horizontal="center" vertical="center"/>
      <protection locked="0"/>
    </xf>
    <xf numFmtId="0" fontId="9" fillId="2" borderId="0" xfId="0" applyFont="1" applyFill="1" applyBorder="1" applyAlignment="1">
      <alignment vertical="center"/>
    </xf>
    <xf numFmtId="166" fontId="5" fillId="0" borderId="0" xfId="0" applyNumberFormat="1" applyFont="1" applyAlignment="1">
      <alignment horizontal="center" vertical="center"/>
    </xf>
    <xf numFmtId="166" fontId="5" fillId="0" borderId="0" xfId="0" applyNumberFormat="1" applyFont="1" applyAlignment="1"/>
    <xf numFmtId="0" fontId="9" fillId="0" borderId="0" xfId="0" applyFont="1" applyAlignment="1">
      <alignment horizontal="center" vertical="center"/>
    </xf>
    <xf numFmtId="10" fontId="9" fillId="0" borderId="0" xfId="0" applyNumberFormat="1" applyFont="1" applyAlignment="1">
      <alignment horizontal="center" vertical="center"/>
    </xf>
    <xf numFmtId="0" fontId="5" fillId="0" borderId="0" xfId="0" applyFont="1" applyAlignment="1">
      <alignment horizontal="right" vertical="center"/>
    </xf>
    <xf numFmtId="0" fontId="5" fillId="2" borderId="0" xfId="0" applyFont="1" applyFill="1" applyBorder="1" applyAlignment="1">
      <alignment horizontal="center"/>
    </xf>
    <xf numFmtId="0" fontId="9" fillId="0" borderId="0" xfId="0" applyFont="1" applyAlignment="1">
      <alignment horizontal="center"/>
    </xf>
    <xf numFmtId="165" fontId="3" fillId="3" borderId="3" xfId="0" applyNumberFormat="1" applyFont="1" applyFill="1" applyBorder="1" applyAlignment="1"/>
    <xf numFmtId="0" fontId="2" fillId="2" borderId="0" xfId="0" applyFont="1" applyFill="1" applyBorder="1" applyAlignment="1"/>
    <xf numFmtId="0" fontId="9" fillId="0" borderId="0" xfId="0" applyFont="1" applyAlignment="1">
      <alignment horizontal="center" vertical="center" wrapText="1"/>
    </xf>
    <xf numFmtId="10" fontId="9" fillId="0" borderId="0" xfId="0" applyNumberFormat="1" applyFont="1" applyAlignment="1">
      <alignment horizontal="center" vertical="center" wrapText="1"/>
    </xf>
    <xf numFmtId="4" fontId="9" fillId="0" borderId="0" xfId="0" applyNumberFormat="1" applyFont="1" applyAlignment="1">
      <alignment horizontal="center" vertical="center" wrapText="1"/>
    </xf>
    <xf numFmtId="0" fontId="3" fillId="0" borderId="0" xfId="0" applyFont="1" applyAlignment="1">
      <alignment horizontal="center" vertical="center" wrapText="1"/>
    </xf>
    <xf numFmtId="10" fontId="3" fillId="0" borderId="0" xfId="0" applyNumberFormat="1" applyFont="1" applyAlignment="1">
      <alignment horizontal="center" vertical="center" wrapText="1"/>
    </xf>
    <xf numFmtId="4" fontId="3" fillId="0" borderId="0" xfId="0" applyNumberFormat="1" applyFont="1" applyAlignment="1">
      <alignment horizontal="center" vertical="center"/>
    </xf>
    <xf numFmtId="167" fontId="2" fillId="0" borderId="0" xfId="0" applyNumberFormat="1" applyFont="1" applyAlignment="1">
      <alignment horizontal="center" vertical="center"/>
    </xf>
    <xf numFmtId="0" fontId="6" fillId="0" borderId="0" xfId="0" applyFont="1" applyAlignment="1" applyProtection="1">
      <alignment horizontal="center" vertical="center"/>
      <protection locked="0"/>
    </xf>
    <xf numFmtId="1" fontId="4" fillId="0" borderId="0" xfId="0" applyNumberFormat="1" applyFont="1" applyAlignment="1" applyProtection="1">
      <alignment horizontal="center" vertical="center"/>
      <protection locked="0"/>
    </xf>
    <xf numFmtId="0" fontId="3" fillId="0" borderId="0" xfId="0" applyFont="1" applyAlignment="1">
      <alignment vertical="center"/>
    </xf>
    <xf numFmtId="0" fontId="2" fillId="0" borderId="0" xfId="0" applyFont="1" applyAlignment="1">
      <alignment vertical="center"/>
    </xf>
    <xf numFmtId="167" fontId="2" fillId="0" borderId="0" xfId="0" applyNumberFormat="1" applyFont="1" applyAlignment="1">
      <alignment vertical="center"/>
    </xf>
    <xf numFmtId="0" fontId="9" fillId="0" borderId="0" xfId="0" applyFont="1" applyAlignment="1"/>
    <xf numFmtId="0" fontId="9" fillId="0" borderId="0" xfId="0" applyFont="1" applyAlignment="1">
      <alignment wrapText="1"/>
    </xf>
    <xf numFmtId="167" fontId="9" fillId="0" borderId="0" xfId="0" applyNumberFormat="1" applyFont="1" applyAlignment="1">
      <alignment horizontal="center" vertical="center"/>
    </xf>
    <xf numFmtId="0" fontId="5" fillId="0" borderId="0" xfId="0" applyFont="1" applyAlignment="1">
      <alignment horizontal="center" wrapText="1"/>
    </xf>
    <xf numFmtId="0" fontId="5" fillId="0" borderId="0" xfId="0" applyFont="1" applyAlignment="1">
      <alignment wrapText="1"/>
    </xf>
    <xf numFmtId="0" fontId="3" fillId="2" borderId="0" xfId="0" applyFont="1" applyFill="1" applyBorder="1" applyAlignment="1">
      <alignment horizontal="center" vertical="center"/>
    </xf>
    <xf numFmtId="0" fontId="2" fillId="0" borderId="0" xfId="0" applyFont="1" applyBorder="1" applyAlignment="1">
      <alignment horizontal="left" vertical="center"/>
    </xf>
    <xf numFmtId="0" fontId="3" fillId="3" borderId="3" xfId="0" applyFont="1" applyFill="1" applyBorder="1" applyAlignment="1">
      <alignment horizontal="left" vertical="center"/>
    </xf>
    <xf numFmtId="0" fontId="3" fillId="0" borderId="0" xfId="0" applyFont="1" applyBorder="1" applyAlignment="1">
      <alignment horizontal="center" vertical="center"/>
    </xf>
    <xf numFmtId="0" fontId="5" fillId="0" borderId="0" xfId="0" applyFont="1" applyBorder="1" applyAlignment="1">
      <alignment horizontal="center" vertical="center"/>
    </xf>
    <xf numFmtId="43" fontId="0" fillId="0" borderId="0" xfId="0" applyNumberFormat="1"/>
    <xf numFmtId="0" fontId="2" fillId="0" borderId="7" xfId="0" applyFont="1" applyBorder="1" applyAlignment="1">
      <alignment vertical="center"/>
    </xf>
    <xf numFmtId="0" fontId="2" fillId="0" borderId="0" xfId="0" applyFont="1" applyBorder="1" applyAlignment="1">
      <alignment vertical="center"/>
    </xf>
    <xf numFmtId="170" fontId="2" fillId="0" borderId="7" xfId="1" applyNumberFormat="1" applyFont="1" applyBorder="1" applyAlignment="1">
      <alignment vertical="center"/>
    </xf>
    <xf numFmtId="44" fontId="0" fillId="0" borderId="0" xfId="2" applyFont="1"/>
    <xf numFmtId="171" fontId="0" fillId="0" borderId="0" xfId="0" applyNumberFormat="1"/>
    <xf numFmtId="166" fontId="0" fillId="0" borderId="0" xfId="0" applyNumberFormat="1"/>
    <xf numFmtId="10" fontId="0" fillId="0" borderId="0" xfId="0" applyNumberFormat="1"/>
    <xf numFmtId="0" fontId="5" fillId="0" borderId="0" xfId="0" applyFont="1" applyBorder="1" applyAlignment="1">
      <alignment horizontal="center" vertical="center"/>
    </xf>
    <xf numFmtId="0" fontId="3" fillId="0" borderId="0" xfId="0" applyFont="1" applyBorder="1" applyAlignment="1">
      <alignment horizontal="center" vertical="center"/>
    </xf>
    <xf numFmtId="0" fontId="2" fillId="0" borderId="0" xfId="0" applyFont="1" applyBorder="1" applyAlignment="1">
      <alignment horizontal="left" vertical="center"/>
    </xf>
    <xf numFmtId="0" fontId="3" fillId="3" borderId="3" xfId="0" applyFont="1" applyFill="1" applyBorder="1" applyAlignment="1">
      <alignment horizontal="left" vertical="center"/>
    </xf>
    <xf numFmtId="0" fontId="2" fillId="5" borderId="0" xfId="0" applyFont="1" applyFill="1" applyAlignment="1">
      <alignment horizontal="center" vertical="center"/>
    </xf>
    <xf numFmtId="0" fontId="2" fillId="5" borderId="0" xfId="0" applyFont="1" applyFill="1" applyBorder="1" applyAlignment="1"/>
    <xf numFmtId="0" fontId="2" fillId="5" borderId="0" xfId="0" applyFont="1" applyFill="1" applyAlignment="1">
      <alignment horizontal="left" wrapText="1"/>
    </xf>
    <xf numFmtId="10" fontId="6" fillId="5" borderId="0" xfId="0" applyNumberFormat="1" applyFont="1" applyFill="1" applyAlignment="1" applyProtection="1">
      <alignment horizontal="center" vertical="center"/>
      <protection locked="0"/>
    </xf>
    <xf numFmtId="166" fontId="2" fillId="5" borderId="0" xfId="0" applyNumberFormat="1" applyFont="1" applyFill="1" applyAlignment="1">
      <alignment vertical="center"/>
    </xf>
    <xf numFmtId="0" fontId="2" fillId="5" borderId="0" xfId="0" applyFont="1" applyFill="1" applyAlignment="1">
      <alignment wrapText="1"/>
    </xf>
    <xf numFmtId="0" fontId="2" fillId="5" borderId="0" xfId="0" applyFont="1" applyFill="1" applyAlignment="1"/>
    <xf numFmtId="0" fontId="5" fillId="5" borderId="1" xfId="0" applyFont="1" applyFill="1" applyBorder="1" applyAlignment="1">
      <alignment horizontal="center"/>
    </xf>
    <xf numFmtId="166" fontId="2" fillId="5" borderId="1" xfId="0" applyNumberFormat="1" applyFont="1" applyFill="1" applyBorder="1" applyAlignment="1">
      <alignment horizontal="center" vertical="center"/>
    </xf>
    <xf numFmtId="166" fontId="2" fillId="5" borderId="0" xfId="0" applyNumberFormat="1" applyFont="1" applyFill="1" applyAlignment="1"/>
    <xf numFmtId="166" fontId="2" fillId="5" borderId="0" xfId="0" applyNumberFormat="1" applyFont="1" applyFill="1" applyAlignment="1" applyProtection="1"/>
    <xf numFmtId="0" fontId="23" fillId="7" borderId="6" xfId="0" applyFont="1" applyFill="1" applyBorder="1" applyAlignment="1">
      <alignment horizontal="center"/>
    </xf>
    <xf numFmtId="0" fontId="23" fillId="7" borderId="6" xfId="0" applyFont="1" applyFill="1" applyBorder="1" applyAlignment="1">
      <alignment horizontal="center" wrapText="1"/>
    </xf>
    <xf numFmtId="0" fontId="0" fillId="0" borderId="6" xfId="0" applyBorder="1" applyAlignment="1">
      <alignment horizontal="center"/>
    </xf>
    <xf numFmtId="172" fontId="0" fillId="0" borderId="6" xfId="0" applyNumberFormat="1" applyBorder="1" applyAlignment="1">
      <alignment horizontal="center"/>
    </xf>
    <xf numFmtId="172" fontId="0" fillId="0" borderId="6" xfId="0" applyNumberFormat="1" applyFont="1" applyBorder="1" applyAlignment="1">
      <alignment horizontal="center"/>
    </xf>
    <xf numFmtId="172" fontId="23" fillId="6" borderId="6" xfId="0" applyNumberFormat="1" applyFont="1" applyFill="1" applyBorder="1" applyAlignment="1">
      <alignment horizontal="center"/>
    </xf>
    <xf numFmtId="0" fontId="24" fillId="0" borderId="6" xfId="0" applyFont="1" applyBorder="1" applyAlignment="1">
      <alignment horizontal="justify" vertical="center" wrapText="1"/>
    </xf>
    <xf numFmtId="0" fontId="24" fillId="0" borderId="6" xfId="0" applyFont="1" applyBorder="1" applyAlignment="1">
      <alignment horizontal="center" vertical="center" wrapText="1"/>
    </xf>
    <xf numFmtId="172" fontId="0" fillId="0" borderId="0" xfId="0" applyNumberFormat="1"/>
    <xf numFmtId="4" fontId="0" fillId="0" borderId="0" xfId="0" applyNumberFormat="1"/>
    <xf numFmtId="0" fontId="2" fillId="0" borderId="0" xfId="0" applyFont="1" applyBorder="1" applyAlignment="1">
      <alignment horizontal="left" vertical="center"/>
    </xf>
    <xf numFmtId="0" fontId="23" fillId="0" borderId="0" xfId="0" applyFont="1"/>
    <xf numFmtId="0" fontId="23" fillId="0" borderId="6" xfId="0" applyFont="1" applyBorder="1"/>
    <xf numFmtId="0" fontId="0" fillId="0" borderId="6" xfId="0" applyBorder="1"/>
    <xf numFmtId="10" fontId="0" fillId="0" borderId="6" xfId="0" applyNumberFormat="1" applyBorder="1"/>
    <xf numFmtId="9" fontId="0" fillId="0" borderId="6" xfId="0" applyNumberFormat="1" applyBorder="1"/>
    <xf numFmtId="0" fontId="25" fillId="0" borderId="0" xfId="0" applyFont="1"/>
    <xf numFmtId="0" fontId="23" fillId="0" borderId="0" xfId="0" applyFont="1" applyFill="1" applyBorder="1"/>
    <xf numFmtId="0" fontId="26" fillId="0" borderId="0" xfId="0" applyFont="1"/>
    <xf numFmtId="165" fontId="0" fillId="0" borderId="0" xfId="0" applyNumberFormat="1"/>
    <xf numFmtId="0" fontId="2" fillId="8" borderId="0" xfId="0" applyFont="1" applyFill="1" applyAlignment="1">
      <alignment horizontal="center" vertical="center"/>
    </xf>
    <xf numFmtId="0" fontId="2" fillId="8" borderId="0" xfId="0" applyFont="1" applyFill="1" applyBorder="1" applyAlignment="1"/>
    <xf numFmtId="0" fontId="2" fillId="8" borderId="0" xfId="0" applyFont="1" applyFill="1" applyAlignment="1">
      <alignment horizontal="left" wrapText="1"/>
    </xf>
    <xf numFmtId="166" fontId="2" fillId="8" borderId="0" xfId="0" applyNumberFormat="1" applyFont="1" applyFill="1" applyAlignment="1">
      <alignment vertical="center"/>
    </xf>
    <xf numFmtId="10" fontId="27" fillId="0" borderId="0" xfId="0" applyNumberFormat="1" applyFont="1" applyAlignment="1" applyProtection="1">
      <alignment horizontal="center" vertical="center"/>
      <protection locked="0"/>
    </xf>
    <xf numFmtId="10" fontId="27" fillId="8" borderId="0" xfId="0" applyNumberFormat="1" applyFont="1" applyFill="1" applyAlignment="1" applyProtection="1">
      <alignment horizontal="center" vertical="center"/>
      <protection locked="0"/>
    </xf>
    <xf numFmtId="10" fontId="27" fillId="0" borderId="0" xfId="1" applyNumberFormat="1" applyFont="1" applyBorder="1" applyAlignment="1" applyProtection="1">
      <alignment horizontal="center" vertical="center"/>
      <protection locked="0"/>
    </xf>
    <xf numFmtId="0" fontId="27" fillId="0" borderId="0" xfId="0" applyFont="1" applyAlignment="1" applyProtection="1">
      <alignment horizontal="center" vertical="center"/>
      <protection locked="0"/>
    </xf>
    <xf numFmtId="1" fontId="28" fillId="0" borderId="0" xfId="0" applyNumberFormat="1" applyFont="1" applyAlignment="1" applyProtection="1">
      <alignment horizontal="center" vertical="center"/>
      <protection locked="0"/>
    </xf>
    <xf numFmtId="0" fontId="27" fillId="0" borderId="6" xfId="0" applyFont="1" applyBorder="1" applyAlignment="1" applyProtection="1">
      <alignment horizontal="center" vertical="center" wrapText="1"/>
      <protection locked="0"/>
    </xf>
    <xf numFmtId="0" fontId="27" fillId="0" borderId="6" xfId="0" applyFont="1" applyBorder="1" applyAlignment="1" applyProtection="1">
      <alignment horizontal="center"/>
      <protection locked="0"/>
    </xf>
    <xf numFmtId="10" fontId="27" fillId="0" borderId="6" xfId="0" applyNumberFormat="1" applyFont="1" applyBorder="1" applyAlignment="1" applyProtection="1">
      <alignment horizontal="center" vertical="center" wrapText="1"/>
      <protection locked="0"/>
    </xf>
    <xf numFmtId="10" fontId="27" fillId="0" borderId="6" xfId="1" applyNumberFormat="1" applyFont="1" applyBorder="1" applyAlignment="1" applyProtection="1">
      <alignment horizontal="center" vertical="center" wrapText="1"/>
      <protection locked="0"/>
    </xf>
    <xf numFmtId="9" fontId="27" fillId="0" borderId="6" xfId="1" applyFont="1" applyBorder="1" applyAlignment="1" applyProtection="1">
      <alignment horizontal="center" vertical="center"/>
      <protection locked="0"/>
    </xf>
    <xf numFmtId="0" fontId="28" fillId="2" borderId="5" xfId="0" applyFont="1" applyFill="1" applyBorder="1" applyAlignment="1">
      <alignment vertical="center"/>
    </xf>
    <xf numFmtId="0" fontId="28" fillId="0" borderId="0" xfId="0" applyFont="1" applyBorder="1" applyAlignment="1">
      <alignment horizontal="center" vertical="center"/>
    </xf>
    <xf numFmtId="0" fontId="27" fillId="0" borderId="0" xfId="0" applyFont="1" applyAlignment="1">
      <alignment horizontal="center" vertical="center"/>
    </xf>
    <xf numFmtId="0" fontId="27" fillId="0" borderId="0" xfId="0" applyFont="1" applyAlignment="1">
      <alignment horizontal="left" vertical="center"/>
    </xf>
    <xf numFmtId="0" fontId="27" fillId="0" borderId="0" xfId="0" applyFont="1" applyAlignment="1"/>
    <xf numFmtId="166" fontId="27" fillId="0" borderId="0" xfId="0" applyNumberFormat="1" applyFont="1" applyAlignment="1">
      <alignment vertical="center"/>
    </xf>
    <xf numFmtId="10" fontId="27" fillId="0" borderId="0" xfId="0" applyNumberFormat="1" applyFont="1" applyAlignment="1">
      <alignment horizontal="center" vertical="center"/>
    </xf>
    <xf numFmtId="167" fontId="27" fillId="0" borderId="0" xfId="0" applyNumberFormat="1" applyFont="1" applyAlignment="1"/>
    <xf numFmtId="10" fontId="27" fillId="0" borderId="0" xfId="0" applyNumberFormat="1" applyFont="1" applyAlignment="1">
      <alignment horizontal="center"/>
    </xf>
    <xf numFmtId="0" fontId="27" fillId="0" borderId="0" xfId="0" applyFont="1" applyBorder="1" applyAlignment="1"/>
    <xf numFmtId="0" fontId="28" fillId="3" borderId="2" xfId="0" applyFont="1" applyFill="1" applyBorder="1" applyAlignment="1">
      <alignment horizontal="left" vertical="center"/>
    </xf>
    <xf numFmtId="0" fontId="28" fillId="3" borderId="2" xfId="0" applyFont="1" applyFill="1" applyBorder="1" applyAlignment="1"/>
    <xf numFmtId="0" fontId="28" fillId="3" borderId="3" xfId="0" applyFont="1" applyFill="1" applyBorder="1" applyAlignment="1"/>
    <xf numFmtId="0" fontId="27" fillId="3" borderId="3" xfId="0" applyFont="1" applyFill="1" applyBorder="1" applyAlignment="1"/>
    <xf numFmtId="167" fontId="27" fillId="3" borderId="3" xfId="0" applyNumberFormat="1" applyFont="1" applyFill="1" applyBorder="1" applyAlignment="1"/>
    <xf numFmtId="167" fontId="28" fillId="3" borderId="4" xfId="0" applyNumberFormat="1" applyFont="1" applyFill="1" applyBorder="1" applyAlignment="1"/>
    <xf numFmtId="0" fontId="28" fillId="2" borderId="0" xfId="0" applyFont="1" applyFill="1" applyBorder="1" applyAlignment="1">
      <alignment horizontal="center" vertical="center"/>
    </xf>
    <xf numFmtId="0" fontId="27" fillId="8" borderId="0" xfId="0" applyFont="1" applyFill="1" applyAlignment="1">
      <alignment horizontal="center" vertical="center"/>
    </xf>
    <xf numFmtId="0" fontId="27" fillId="8" borderId="0" xfId="0" applyFont="1" applyFill="1" applyBorder="1" applyAlignment="1"/>
    <xf numFmtId="0" fontId="27" fillId="8" borderId="0" xfId="0" applyFont="1" applyFill="1" applyAlignment="1">
      <alignment horizontal="left" wrapText="1"/>
    </xf>
    <xf numFmtId="166" fontId="27" fillId="8" borderId="0" xfId="0" applyNumberFormat="1" applyFont="1" applyFill="1" applyAlignment="1">
      <alignment vertical="center"/>
    </xf>
    <xf numFmtId="166" fontId="28" fillId="3" borderId="3" xfId="0" applyNumberFormat="1" applyFont="1" applyFill="1" applyBorder="1" applyAlignment="1">
      <alignment vertical="center"/>
    </xf>
    <xf numFmtId="10" fontId="28" fillId="3" borderId="3" xfId="0" applyNumberFormat="1" applyFont="1" applyFill="1" applyBorder="1" applyAlignment="1">
      <alignment horizontal="center" vertical="center"/>
    </xf>
    <xf numFmtId="166" fontId="28" fillId="3" borderId="4" xfId="0" applyNumberFormat="1" applyFont="1" applyFill="1" applyBorder="1" applyAlignment="1">
      <alignment vertical="center"/>
    </xf>
    <xf numFmtId="0" fontId="28" fillId="0" borderId="6" xfId="0" applyFont="1" applyBorder="1" applyAlignment="1"/>
    <xf numFmtId="0" fontId="28" fillId="0" borderId="6" xfId="0" applyFont="1" applyBorder="1" applyAlignment="1">
      <alignment horizontal="center"/>
    </xf>
    <xf numFmtId="166" fontId="27" fillId="0" borderId="0" xfId="0" applyNumberFormat="1" applyFont="1" applyAlignment="1"/>
    <xf numFmtId="168" fontId="27" fillId="0" borderId="0" xfId="0" applyNumberFormat="1" applyFont="1" applyAlignment="1">
      <alignment horizontal="left" vertical="center"/>
    </xf>
    <xf numFmtId="0" fontId="27" fillId="0" borderId="0" xfId="0" applyFont="1" applyAlignment="1">
      <alignment vertical="center"/>
    </xf>
    <xf numFmtId="49" fontId="27" fillId="0" borderId="0" xfId="0" applyNumberFormat="1" applyFont="1" applyAlignment="1">
      <alignment horizontal="center"/>
    </xf>
    <xf numFmtId="0" fontId="27" fillId="0" borderId="0" xfId="0" applyFont="1" applyBorder="1" applyAlignment="1">
      <alignment vertical="center"/>
    </xf>
    <xf numFmtId="0" fontId="27" fillId="0" borderId="7" xfId="0" applyFont="1" applyBorder="1" applyAlignment="1">
      <alignment vertical="center"/>
    </xf>
    <xf numFmtId="170" fontId="27" fillId="0" borderId="7" xfId="1" applyNumberFormat="1" applyFont="1" applyBorder="1" applyAlignment="1">
      <alignment vertical="center"/>
    </xf>
    <xf numFmtId="0" fontId="0" fillId="0" borderId="0" xfId="0" applyFont="1"/>
    <xf numFmtId="49" fontId="27" fillId="3" borderId="2" xfId="0" applyNumberFormat="1" applyFont="1" applyFill="1" applyBorder="1" applyAlignment="1">
      <alignment horizontal="center"/>
    </xf>
    <xf numFmtId="0" fontId="27" fillId="3" borderId="3" xfId="0" applyFont="1" applyFill="1" applyBorder="1" applyAlignment="1">
      <alignment vertical="center"/>
    </xf>
    <xf numFmtId="165" fontId="28" fillId="3" borderId="4" xfId="0" applyNumberFormat="1" applyFont="1" applyFill="1" applyBorder="1" applyAlignment="1">
      <alignment vertical="center"/>
    </xf>
    <xf numFmtId="0" fontId="28" fillId="0" borderId="0" xfId="0" applyFont="1" applyAlignment="1">
      <alignment horizontal="left" vertical="center"/>
    </xf>
    <xf numFmtId="165" fontId="27" fillId="0" borderId="0" xfId="0" applyNumberFormat="1" applyFont="1" applyAlignment="1">
      <alignment vertical="center"/>
    </xf>
    <xf numFmtId="0" fontId="28" fillId="3" borderId="3" xfId="0" applyFont="1" applyFill="1" applyBorder="1" applyAlignment="1">
      <alignment horizontal="left" vertical="center"/>
    </xf>
    <xf numFmtId="0" fontId="28" fillId="2" borderId="0" xfId="0" applyFont="1" applyFill="1" applyAlignment="1">
      <alignment horizontal="center"/>
    </xf>
    <xf numFmtId="0" fontId="27" fillId="0" borderId="0" xfId="0" applyFont="1" applyAlignment="1">
      <alignment horizontal="left" wrapText="1"/>
    </xf>
    <xf numFmtId="0" fontId="27" fillId="0" borderId="0" xfId="0" applyFont="1" applyAlignment="1">
      <alignment horizontal="left" vertical="center" wrapText="1"/>
    </xf>
    <xf numFmtId="169" fontId="27" fillId="0" borderId="0" xfId="0" applyNumberFormat="1" applyFont="1" applyAlignment="1">
      <alignment vertical="center"/>
    </xf>
    <xf numFmtId="0" fontId="28" fillId="3" borderId="2" xfId="0" applyFont="1" applyFill="1" applyBorder="1" applyAlignment="1">
      <alignment vertical="center"/>
    </xf>
    <xf numFmtId="166" fontId="27" fillId="3" borderId="3" xfId="0" applyNumberFormat="1" applyFont="1" applyFill="1" applyBorder="1" applyAlignment="1">
      <alignment vertical="center"/>
    </xf>
    <xf numFmtId="0" fontId="28" fillId="2" borderId="0" xfId="0" applyFont="1" applyFill="1" applyBorder="1" applyAlignment="1">
      <alignment vertical="center"/>
    </xf>
    <xf numFmtId="0" fontId="27" fillId="0" borderId="0" xfId="0" applyFont="1" applyBorder="1" applyAlignment="1">
      <alignment horizontal="center" vertical="center"/>
    </xf>
    <xf numFmtId="166" fontId="27" fillId="0" borderId="0" xfId="0" applyNumberFormat="1" applyFont="1" applyBorder="1" applyAlignment="1">
      <alignment vertical="center"/>
    </xf>
    <xf numFmtId="166" fontId="27" fillId="0" borderId="6" xfId="0" applyNumberFormat="1" applyFont="1" applyBorder="1" applyAlignment="1" applyProtection="1">
      <alignment horizontal="center" vertical="center"/>
      <protection locked="0"/>
    </xf>
    <xf numFmtId="166" fontId="27" fillId="0" borderId="0" xfId="0" applyNumberFormat="1" applyFont="1" applyAlignment="1">
      <alignment horizontal="center" vertical="center"/>
    </xf>
    <xf numFmtId="0" fontId="28" fillId="0" borderId="0" xfId="0" applyFont="1" applyAlignment="1">
      <alignment horizontal="center" vertical="center"/>
    </xf>
    <xf numFmtId="10" fontId="28" fillId="0" borderId="0" xfId="0" applyNumberFormat="1" applyFont="1" applyAlignment="1">
      <alignment horizontal="center" vertical="center"/>
    </xf>
    <xf numFmtId="0" fontId="27" fillId="0" borderId="0" xfId="0" applyFont="1" applyAlignment="1">
      <alignment horizontal="right" vertical="center"/>
    </xf>
    <xf numFmtId="0" fontId="27" fillId="2" borderId="0" xfId="0" applyFont="1" applyFill="1" applyBorder="1" applyAlignment="1">
      <alignment horizontal="center"/>
    </xf>
    <xf numFmtId="0" fontId="28" fillId="0" borderId="0" xfId="0" applyFont="1" applyAlignment="1">
      <alignment horizontal="center"/>
    </xf>
    <xf numFmtId="165" fontId="28" fillId="3" borderId="3" xfId="0" applyNumberFormat="1" applyFont="1" applyFill="1" applyBorder="1" applyAlignment="1"/>
    <xf numFmtId="0" fontId="27" fillId="2" borderId="0" xfId="0" applyFont="1" applyFill="1" applyBorder="1" applyAlignment="1"/>
    <xf numFmtId="0" fontId="28" fillId="0" borderId="0" xfId="0" applyFont="1" applyAlignment="1">
      <alignment vertical="center"/>
    </xf>
    <xf numFmtId="0" fontId="28" fillId="0" borderId="0" xfId="0" applyFont="1" applyAlignment="1">
      <alignment horizontal="center" vertical="center" wrapText="1"/>
    </xf>
    <xf numFmtId="10" fontId="28" fillId="0" borderId="0" xfId="0" applyNumberFormat="1" applyFont="1" applyAlignment="1">
      <alignment horizontal="center" vertical="center" wrapText="1"/>
    </xf>
    <xf numFmtId="4" fontId="28" fillId="0" borderId="0" xfId="0" applyNumberFormat="1" applyFont="1" applyAlignment="1">
      <alignment horizontal="center" vertical="center" wrapText="1"/>
    </xf>
    <xf numFmtId="4" fontId="28" fillId="0" borderId="0" xfId="0" applyNumberFormat="1" applyFont="1" applyAlignment="1">
      <alignment horizontal="center" vertical="center"/>
    </xf>
    <xf numFmtId="0" fontId="27" fillId="0" borderId="0" xfId="0" applyFont="1" applyAlignment="1">
      <alignment vertical="center" wrapText="1"/>
    </xf>
    <xf numFmtId="167" fontId="27" fillId="0" borderId="0" xfId="0" applyNumberFormat="1" applyFont="1" applyAlignment="1">
      <alignment horizontal="center" vertical="center"/>
    </xf>
    <xf numFmtId="167" fontId="27" fillId="0" borderId="0" xfId="0" applyNumberFormat="1" applyFont="1" applyAlignment="1">
      <alignment vertical="center"/>
    </xf>
    <xf numFmtId="0" fontId="28" fillId="0" borderId="0" xfId="0" applyFont="1" applyAlignment="1"/>
    <xf numFmtId="0" fontId="28" fillId="0" borderId="0" xfId="0" applyFont="1" applyAlignment="1">
      <alignment wrapText="1"/>
    </xf>
    <xf numFmtId="167" fontId="28" fillId="0" borderId="0" xfId="0" applyNumberFormat="1" applyFont="1" applyAlignment="1">
      <alignment horizontal="center" vertical="center"/>
    </xf>
    <xf numFmtId="0" fontId="27" fillId="0" borderId="0" xfId="0" applyFont="1" applyAlignment="1">
      <alignment horizontal="center" wrapText="1"/>
    </xf>
    <xf numFmtId="0" fontId="27" fillId="0" borderId="0" xfId="0" applyFont="1" applyAlignment="1">
      <alignment wrapText="1"/>
    </xf>
    <xf numFmtId="166" fontId="27" fillId="0" borderId="0" xfId="0" applyNumberFormat="1" applyFont="1" applyAlignment="1" applyProtection="1">
      <alignment vertical="center"/>
      <protection locked="0"/>
    </xf>
    <xf numFmtId="0" fontId="27" fillId="0" borderId="1" xfId="0" applyFont="1" applyBorder="1" applyAlignment="1" applyProtection="1">
      <alignment horizontal="center"/>
      <protection locked="0"/>
    </xf>
    <xf numFmtId="10" fontId="29" fillId="0" borderId="1" xfId="0" applyNumberFormat="1" applyFont="1" applyBorder="1" applyAlignment="1" applyProtection="1">
      <alignment horizontal="center"/>
      <protection locked="0"/>
    </xf>
    <xf numFmtId="166" fontId="27" fillId="0" borderId="0" xfId="0" applyNumberFormat="1" applyFont="1" applyAlignment="1" applyProtection="1"/>
    <xf numFmtId="0" fontId="27" fillId="0" borderId="1" xfId="0" applyFont="1" applyBorder="1" applyAlignment="1">
      <alignment horizontal="center"/>
    </xf>
    <xf numFmtId="166" fontId="27" fillId="0" borderId="1" xfId="0" applyNumberFormat="1" applyFont="1" applyBorder="1" applyAlignment="1">
      <alignment horizontal="center" vertical="center"/>
    </xf>
    <xf numFmtId="10" fontId="27" fillId="0" borderId="1" xfId="0" applyNumberFormat="1" applyFont="1" applyBorder="1" applyAlignment="1" applyProtection="1">
      <protection locked="0"/>
    </xf>
    <xf numFmtId="165" fontId="27" fillId="0" borderId="1" xfId="0" applyNumberFormat="1" applyFont="1" applyBorder="1" applyAlignment="1" applyProtection="1">
      <alignment horizontal="center"/>
      <protection locked="0"/>
    </xf>
    <xf numFmtId="166" fontId="27" fillId="0" borderId="0" xfId="0" applyNumberFormat="1" applyFont="1" applyAlignment="1" applyProtection="1">
      <protection locked="0"/>
    </xf>
    <xf numFmtId="0" fontId="27" fillId="3" borderId="2" xfId="0" applyFont="1" applyFill="1" applyBorder="1" applyAlignment="1">
      <alignment horizontal="center" vertical="center"/>
    </xf>
    <xf numFmtId="0" fontId="27" fillId="8" borderId="0" xfId="0" applyFont="1" applyFill="1" applyAlignment="1">
      <alignment wrapText="1"/>
    </xf>
    <xf numFmtId="0" fontId="27" fillId="8" borderId="0" xfId="0" applyFont="1" applyFill="1" applyAlignment="1"/>
    <xf numFmtId="0" fontId="27" fillId="8" borderId="1" xfId="0" applyFont="1" applyFill="1" applyBorder="1" applyAlignment="1">
      <alignment horizontal="center"/>
    </xf>
    <xf numFmtId="166" fontId="27" fillId="8" borderId="1" xfId="0" applyNumberFormat="1" applyFont="1" applyFill="1" applyBorder="1" applyAlignment="1">
      <alignment horizontal="center" vertical="center"/>
    </xf>
    <xf numFmtId="166" fontId="27" fillId="8" borderId="0" xfId="0" applyNumberFormat="1" applyFont="1" applyFill="1" applyAlignment="1"/>
    <xf numFmtId="166" fontId="27" fillId="8" borderId="0" xfId="0" applyNumberFormat="1" applyFont="1" applyFill="1" applyAlignment="1" applyProtection="1"/>
    <xf numFmtId="10" fontId="6" fillId="8" borderId="0" xfId="0" applyNumberFormat="1" applyFont="1" applyFill="1" applyAlignment="1" applyProtection="1">
      <alignment horizontal="center" vertical="center"/>
      <protection locked="0"/>
    </xf>
    <xf numFmtId="44" fontId="30" fillId="0" borderId="0" xfId="2" applyFont="1"/>
    <xf numFmtId="173" fontId="2" fillId="0" borderId="0" xfId="0" applyNumberFormat="1" applyFont="1" applyAlignment="1">
      <alignment horizontal="center" vertical="center"/>
    </xf>
    <xf numFmtId="0" fontId="23" fillId="6" borderId="6" xfId="0" applyFont="1" applyFill="1" applyBorder="1" applyAlignment="1">
      <alignment horizontal="center" vertical="center"/>
    </xf>
    <xf numFmtId="172" fontId="23" fillId="6" borderId="6" xfId="0" applyNumberFormat="1" applyFont="1" applyFill="1" applyBorder="1" applyAlignment="1">
      <alignment horizontal="center" wrapText="1"/>
    </xf>
    <xf numFmtId="0" fontId="23" fillId="6" borderId="6" xfId="0" applyFont="1" applyFill="1" applyBorder="1" applyAlignment="1">
      <alignment horizontal="center" vertical="center" wrapText="1"/>
    </xf>
    <xf numFmtId="0" fontId="24" fillId="8" borderId="6" xfId="0" applyFont="1" applyFill="1" applyBorder="1" applyAlignment="1">
      <alignment horizontal="justify" vertical="center" wrapText="1"/>
    </xf>
    <xf numFmtId="172" fontId="0" fillId="6" borderId="6" xfId="0" applyNumberFormat="1" applyFill="1" applyBorder="1"/>
    <xf numFmtId="0" fontId="9" fillId="4" borderId="0" xfId="0" applyFont="1" applyFill="1" applyBorder="1" applyAlignment="1">
      <alignment horizontal="center" vertical="center"/>
    </xf>
    <xf numFmtId="0" fontId="2" fillId="0" borderId="6" xfId="0" applyFont="1" applyBorder="1" applyAlignment="1">
      <alignment horizontal="center" vertical="center" wrapText="1"/>
    </xf>
    <xf numFmtId="0" fontId="3" fillId="4" borderId="0" xfId="0" applyFont="1" applyFill="1" applyBorder="1" applyAlignment="1">
      <alignment horizontal="center" vertical="center"/>
    </xf>
    <xf numFmtId="49" fontId="2" fillId="0" borderId="0" xfId="0" applyNumberFormat="1" applyFont="1" applyBorder="1" applyAlignment="1">
      <alignment horizontal="center" vertical="center"/>
    </xf>
    <xf numFmtId="4" fontId="6" fillId="0" borderId="6" xfId="0" applyNumberFormat="1" applyFont="1" applyBorder="1" applyAlignment="1" applyProtection="1">
      <alignment horizontal="center" vertical="center"/>
      <protection locked="0"/>
    </xf>
    <xf numFmtId="0" fontId="6" fillId="0" borderId="6" xfId="0" applyFont="1" applyBorder="1" applyAlignment="1" applyProtection="1">
      <alignment horizontal="center" vertical="center"/>
      <protection locked="0"/>
    </xf>
    <xf numFmtId="165" fontId="6" fillId="0" borderId="6" xfId="0" applyNumberFormat="1" applyFont="1" applyBorder="1" applyAlignment="1" applyProtection="1">
      <alignment horizontal="center" vertical="center"/>
      <protection locked="0"/>
    </xf>
    <xf numFmtId="168" fontId="2" fillId="0" borderId="6" xfId="0" applyNumberFormat="1" applyFont="1" applyBorder="1" applyAlignment="1">
      <alignment horizontal="center" vertical="center"/>
    </xf>
    <xf numFmtId="0" fontId="2" fillId="0" borderId="0" xfId="0" applyFont="1" applyBorder="1" applyAlignment="1">
      <alignment horizontal="left" vertical="center"/>
    </xf>
    <xf numFmtId="0" fontId="3" fillId="3" borderId="3" xfId="0" applyFont="1" applyFill="1" applyBorder="1" applyAlignment="1">
      <alignment horizontal="left" vertical="center"/>
    </xf>
    <xf numFmtId="0" fontId="3" fillId="4" borderId="5" xfId="0" applyFont="1" applyFill="1" applyBorder="1" applyAlignment="1">
      <alignment horizontal="center"/>
    </xf>
    <xf numFmtId="0" fontId="5" fillId="0" borderId="1" xfId="0" applyFont="1" applyBorder="1" applyAlignment="1">
      <alignment horizontal="center" wrapText="1"/>
    </xf>
    <xf numFmtId="0" fontId="2" fillId="0" borderId="0" xfId="0" applyFont="1" applyBorder="1" applyAlignment="1">
      <alignment horizontal="left" vertical="center" wrapText="1"/>
    </xf>
    <xf numFmtId="0" fontId="9" fillId="0" borderId="0" xfId="0" applyFont="1" applyBorder="1" applyAlignment="1">
      <alignment horizontal="center" vertical="center"/>
    </xf>
    <xf numFmtId="0" fontId="6" fillId="0" borderId="0" xfId="0" applyFont="1" applyBorder="1" applyAlignment="1" applyProtection="1">
      <alignment horizontal="left" vertical="center"/>
      <protection locked="0"/>
    </xf>
    <xf numFmtId="165" fontId="6" fillId="0" borderId="0" xfId="0" applyNumberFormat="1" applyFont="1" applyBorder="1" applyAlignment="1" applyProtection="1">
      <alignment horizontal="left" vertical="center"/>
      <protection locked="0"/>
    </xf>
    <xf numFmtId="0" fontId="6" fillId="0" borderId="0" xfId="0" applyFont="1" applyBorder="1" applyAlignment="1" applyProtection="1">
      <alignment horizontal="center" vertical="center" wrapText="1"/>
      <protection locked="0"/>
    </xf>
    <xf numFmtId="49" fontId="6" fillId="0" borderId="0" xfId="0" applyNumberFormat="1" applyFont="1" applyBorder="1" applyAlignment="1" applyProtection="1">
      <alignment horizontal="left" vertical="center"/>
      <protection locked="0"/>
    </xf>
    <xf numFmtId="0" fontId="3" fillId="4" borderId="5" xfId="0" applyFont="1" applyFill="1" applyBorder="1" applyAlignment="1">
      <alignment horizontal="center" vertical="center"/>
    </xf>
    <xf numFmtId="0" fontId="3" fillId="0" borderId="0" xfId="0" applyFont="1" applyBorder="1" applyAlignment="1">
      <alignment horizontal="center" vertical="center"/>
    </xf>
    <xf numFmtId="0" fontId="4" fillId="0" borderId="0" xfId="0" applyFont="1" applyBorder="1" applyAlignment="1" applyProtection="1">
      <alignment horizontal="center" vertical="center" wrapText="1"/>
      <protection locked="0"/>
    </xf>
    <xf numFmtId="0" fontId="5" fillId="0" borderId="0" xfId="0" applyFont="1" applyBorder="1" applyAlignment="1">
      <alignment horizontal="center" vertical="center"/>
    </xf>
    <xf numFmtId="0" fontId="6" fillId="0" borderId="0" xfId="0" applyFont="1" applyBorder="1" applyAlignment="1" applyProtection="1">
      <alignment horizontal="left" vertical="center" wrapText="1"/>
      <protection locked="0"/>
    </xf>
    <xf numFmtId="0" fontId="3" fillId="0" borderId="0" xfId="0" applyFont="1" applyBorder="1" applyAlignment="1">
      <alignment horizontal="center" vertical="center" wrapText="1"/>
    </xf>
    <xf numFmtId="0" fontId="2" fillId="0" borderId="0" xfId="0" applyFont="1" applyBorder="1" applyAlignment="1">
      <alignment horizontal="center" vertical="center" wrapText="1"/>
    </xf>
    <xf numFmtId="0" fontId="23" fillId="0" borderId="0" xfId="0" applyFont="1" applyFill="1" applyBorder="1" applyAlignment="1">
      <alignment horizontal="center" wrapText="1"/>
    </xf>
    <xf numFmtId="0" fontId="23" fillId="0" borderId="0" xfId="0" applyFont="1" applyAlignment="1">
      <alignment horizontal="center" wrapText="1"/>
    </xf>
    <xf numFmtId="14" fontId="6" fillId="0" borderId="0" xfId="0" applyNumberFormat="1" applyFont="1" applyBorder="1" applyAlignment="1" applyProtection="1">
      <alignment horizontal="left" vertical="center"/>
      <protection locked="0"/>
    </xf>
    <xf numFmtId="0" fontId="28" fillId="4" borderId="0" xfId="0" applyFont="1" applyFill="1" applyBorder="1" applyAlignment="1">
      <alignment horizontal="center" vertical="center"/>
    </xf>
    <xf numFmtId="4" fontId="27" fillId="0" borderId="6" xfId="0" applyNumberFormat="1" applyFont="1" applyBorder="1" applyAlignment="1" applyProtection="1">
      <alignment horizontal="center" vertical="center"/>
      <protection locked="0"/>
    </xf>
    <xf numFmtId="0" fontId="27" fillId="0" borderId="6" xfId="0" applyFont="1" applyBorder="1" applyAlignment="1" applyProtection="1">
      <alignment horizontal="center" vertical="center"/>
      <protection locked="0"/>
    </xf>
    <xf numFmtId="165" fontId="27" fillId="0" borderId="6" xfId="0" applyNumberFormat="1" applyFont="1" applyBorder="1" applyAlignment="1" applyProtection="1">
      <alignment horizontal="center" vertical="center"/>
      <protection locked="0"/>
    </xf>
    <xf numFmtId="0" fontId="27" fillId="0" borderId="1" xfId="0" applyFont="1" applyBorder="1" applyAlignment="1">
      <alignment horizontal="center" wrapText="1"/>
    </xf>
    <xf numFmtId="0" fontId="28" fillId="4" borderId="5" xfId="0" applyFont="1" applyFill="1" applyBorder="1" applyAlignment="1">
      <alignment horizontal="center" vertical="center"/>
    </xf>
    <xf numFmtId="0" fontId="28" fillId="0" borderId="0" xfId="0" applyFont="1" applyBorder="1" applyAlignment="1">
      <alignment horizontal="center" vertical="center"/>
    </xf>
    <xf numFmtId="49" fontId="27" fillId="0" borderId="0" xfId="0" applyNumberFormat="1" applyFont="1" applyBorder="1" applyAlignment="1">
      <alignment horizontal="center" vertical="center"/>
    </xf>
    <xf numFmtId="168" fontId="27" fillId="0" borderId="6" xfId="0" applyNumberFormat="1" applyFont="1" applyBorder="1" applyAlignment="1">
      <alignment horizontal="center" vertical="center"/>
    </xf>
    <xf numFmtId="0" fontId="27" fillId="0" borderId="0" xfId="0" applyFont="1" applyBorder="1" applyAlignment="1">
      <alignment horizontal="left" vertical="center"/>
    </xf>
    <xf numFmtId="0" fontId="28" fillId="3" borderId="3" xfId="0" applyFont="1" applyFill="1" applyBorder="1" applyAlignment="1">
      <alignment horizontal="left" vertical="center"/>
    </xf>
    <xf numFmtId="0" fontId="28" fillId="4" borderId="5" xfId="0" applyFont="1" applyFill="1" applyBorder="1" applyAlignment="1">
      <alignment horizontal="center"/>
    </xf>
    <xf numFmtId="0" fontId="27" fillId="0" borderId="6" xfId="0" applyFont="1" applyBorder="1" applyAlignment="1">
      <alignment horizontal="center" vertical="center" wrapText="1"/>
    </xf>
    <xf numFmtId="0" fontId="23" fillId="6" borderId="8" xfId="0" applyFont="1" applyFill="1" applyBorder="1" applyAlignment="1">
      <alignment horizontal="center"/>
    </xf>
    <xf numFmtId="0" fontId="23" fillId="6" borderId="0" xfId="0" applyFont="1" applyFill="1" applyBorder="1" applyAlignment="1">
      <alignment horizontal="center"/>
    </xf>
    <xf numFmtId="0" fontId="23" fillId="6" borderId="2" xfId="0" applyFont="1" applyFill="1" applyBorder="1" applyAlignment="1">
      <alignment horizontal="center"/>
    </xf>
    <xf numFmtId="0" fontId="23" fillId="6" borderId="3" xfId="0" applyFont="1" applyFill="1" applyBorder="1" applyAlignment="1">
      <alignment horizontal="center"/>
    </xf>
    <xf numFmtId="0" fontId="23" fillId="6" borderId="4" xfId="0" applyFont="1" applyFill="1" applyBorder="1" applyAlignment="1">
      <alignment horizontal="center"/>
    </xf>
    <xf numFmtId="0" fontId="0" fillId="8" borderId="6" xfId="0" applyFill="1" applyBorder="1" applyAlignment="1">
      <alignment horizontal="center" vertical="center"/>
    </xf>
    <xf numFmtId="0" fontId="23" fillId="6" borderId="6" xfId="0" applyFont="1" applyFill="1" applyBorder="1" applyAlignment="1">
      <alignment horizontal="center" vertical="center"/>
    </xf>
  </cellXfs>
  <cellStyles count="3">
    <cellStyle name="Moeda" xfId="2" builtinId="4"/>
    <cellStyle name="Normal" xfId="0" builtinId="0"/>
    <cellStyle name="Porcentagem" xfId="1" builtin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editAs="oneCell">
    <xdr:from>
      <xdr:col>0</xdr:col>
      <xdr:colOff>54000</xdr:colOff>
      <xdr:row>0</xdr:row>
      <xdr:rowOff>0</xdr:rowOff>
    </xdr:from>
    <xdr:to>
      <xdr:col>2</xdr:col>
      <xdr:colOff>529830</xdr:colOff>
      <xdr:row>53</xdr:row>
      <xdr:rowOff>180150</xdr:rowOff>
    </xdr:to>
    <xdr:sp macro="" textlink="">
      <xdr:nvSpPr>
        <xdr:cNvPr id="2" name="CustomShape 1" hidden="1">
          <a:extLst>
            <a:ext uri="{FF2B5EF4-FFF2-40B4-BE49-F238E27FC236}">
              <a16:creationId xmlns:a16="http://schemas.microsoft.com/office/drawing/2014/main" xmlns="" id="{00000000-0008-0000-0000-000002000000}"/>
            </a:ext>
          </a:extLst>
        </xdr:cNvPr>
        <xdr:cNvSpPr/>
      </xdr:nvSpPr>
      <xdr:spPr>
        <a:xfrm>
          <a:off x="54000" y="0"/>
          <a:ext cx="4457280" cy="10838625"/>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twoCellAnchor editAs="oneCell">
    <xdr:from>
      <xdr:col>0</xdr:col>
      <xdr:colOff>54000</xdr:colOff>
      <xdr:row>0</xdr:row>
      <xdr:rowOff>0</xdr:rowOff>
    </xdr:from>
    <xdr:to>
      <xdr:col>2</xdr:col>
      <xdr:colOff>529830</xdr:colOff>
      <xdr:row>53</xdr:row>
      <xdr:rowOff>180150</xdr:rowOff>
    </xdr:to>
    <xdr:sp macro="" textlink="">
      <xdr:nvSpPr>
        <xdr:cNvPr id="3" name="CustomShape 1" hidden="1">
          <a:extLst>
            <a:ext uri="{FF2B5EF4-FFF2-40B4-BE49-F238E27FC236}">
              <a16:creationId xmlns:a16="http://schemas.microsoft.com/office/drawing/2014/main" xmlns="" id="{00000000-0008-0000-0000-000003000000}"/>
            </a:ext>
          </a:extLst>
        </xdr:cNvPr>
        <xdr:cNvSpPr/>
      </xdr:nvSpPr>
      <xdr:spPr>
        <a:xfrm>
          <a:off x="54000" y="0"/>
          <a:ext cx="4457280" cy="10838625"/>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54000</xdr:colOff>
      <xdr:row>0</xdr:row>
      <xdr:rowOff>0</xdr:rowOff>
    </xdr:from>
    <xdr:to>
      <xdr:col>2</xdr:col>
      <xdr:colOff>529830</xdr:colOff>
      <xdr:row>53</xdr:row>
      <xdr:rowOff>180150</xdr:rowOff>
    </xdr:to>
    <xdr:sp macro="" textlink="">
      <xdr:nvSpPr>
        <xdr:cNvPr id="2" name="CustomShape 1" hidden="1">
          <a:extLst>
            <a:ext uri="{FF2B5EF4-FFF2-40B4-BE49-F238E27FC236}">
              <a16:creationId xmlns:a16="http://schemas.microsoft.com/office/drawing/2014/main" xmlns="" id="{00000000-0008-0000-0900-000002000000}"/>
            </a:ext>
          </a:extLst>
        </xdr:cNvPr>
        <xdr:cNvSpPr/>
      </xdr:nvSpPr>
      <xdr:spPr>
        <a:xfrm>
          <a:off x="54000" y="0"/>
          <a:ext cx="4457280" cy="10838625"/>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twoCellAnchor editAs="oneCell">
    <xdr:from>
      <xdr:col>0</xdr:col>
      <xdr:colOff>54000</xdr:colOff>
      <xdr:row>0</xdr:row>
      <xdr:rowOff>0</xdr:rowOff>
    </xdr:from>
    <xdr:to>
      <xdr:col>2</xdr:col>
      <xdr:colOff>529830</xdr:colOff>
      <xdr:row>53</xdr:row>
      <xdr:rowOff>180150</xdr:rowOff>
    </xdr:to>
    <xdr:sp macro="" textlink="">
      <xdr:nvSpPr>
        <xdr:cNvPr id="3" name="CustomShape 1" hidden="1">
          <a:extLst>
            <a:ext uri="{FF2B5EF4-FFF2-40B4-BE49-F238E27FC236}">
              <a16:creationId xmlns:a16="http://schemas.microsoft.com/office/drawing/2014/main" xmlns="" id="{00000000-0008-0000-0900-000003000000}"/>
            </a:ext>
          </a:extLst>
        </xdr:cNvPr>
        <xdr:cNvSpPr/>
      </xdr:nvSpPr>
      <xdr:spPr>
        <a:xfrm>
          <a:off x="54000" y="0"/>
          <a:ext cx="4457280" cy="10838625"/>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54000</xdr:colOff>
      <xdr:row>0</xdr:row>
      <xdr:rowOff>0</xdr:rowOff>
    </xdr:from>
    <xdr:to>
      <xdr:col>2</xdr:col>
      <xdr:colOff>529830</xdr:colOff>
      <xdr:row>53</xdr:row>
      <xdr:rowOff>180150</xdr:rowOff>
    </xdr:to>
    <xdr:sp macro="" textlink="">
      <xdr:nvSpPr>
        <xdr:cNvPr id="2" name="CustomShape 1" hidden="1">
          <a:extLst>
            <a:ext uri="{FF2B5EF4-FFF2-40B4-BE49-F238E27FC236}">
              <a16:creationId xmlns:a16="http://schemas.microsoft.com/office/drawing/2014/main" xmlns="" id="{00000000-0008-0000-0A00-000002000000}"/>
            </a:ext>
          </a:extLst>
        </xdr:cNvPr>
        <xdr:cNvSpPr/>
      </xdr:nvSpPr>
      <xdr:spPr>
        <a:xfrm>
          <a:off x="54000" y="0"/>
          <a:ext cx="4457280" cy="10838625"/>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twoCellAnchor editAs="oneCell">
    <xdr:from>
      <xdr:col>0</xdr:col>
      <xdr:colOff>54000</xdr:colOff>
      <xdr:row>0</xdr:row>
      <xdr:rowOff>0</xdr:rowOff>
    </xdr:from>
    <xdr:to>
      <xdr:col>2</xdr:col>
      <xdr:colOff>529830</xdr:colOff>
      <xdr:row>53</xdr:row>
      <xdr:rowOff>180150</xdr:rowOff>
    </xdr:to>
    <xdr:sp macro="" textlink="">
      <xdr:nvSpPr>
        <xdr:cNvPr id="3" name="CustomShape 1" hidden="1">
          <a:extLst>
            <a:ext uri="{FF2B5EF4-FFF2-40B4-BE49-F238E27FC236}">
              <a16:creationId xmlns:a16="http://schemas.microsoft.com/office/drawing/2014/main" xmlns="" id="{00000000-0008-0000-0A00-000003000000}"/>
            </a:ext>
          </a:extLst>
        </xdr:cNvPr>
        <xdr:cNvSpPr/>
      </xdr:nvSpPr>
      <xdr:spPr>
        <a:xfrm>
          <a:off x="54000" y="0"/>
          <a:ext cx="4457280" cy="10838625"/>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54000</xdr:colOff>
      <xdr:row>0</xdr:row>
      <xdr:rowOff>0</xdr:rowOff>
    </xdr:from>
    <xdr:to>
      <xdr:col>2</xdr:col>
      <xdr:colOff>529830</xdr:colOff>
      <xdr:row>53</xdr:row>
      <xdr:rowOff>180150</xdr:rowOff>
    </xdr:to>
    <xdr:sp macro="" textlink="">
      <xdr:nvSpPr>
        <xdr:cNvPr id="2" name="CustomShape 1" hidden="1">
          <a:extLst>
            <a:ext uri="{FF2B5EF4-FFF2-40B4-BE49-F238E27FC236}">
              <a16:creationId xmlns:a16="http://schemas.microsoft.com/office/drawing/2014/main" xmlns="" id="{00000000-0008-0000-0B00-000002000000}"/>
            </a:ext>
          </a:extLst>
        </xdr:cNvPr>
        <xdr:cNvSpPr/>
      </xdr:nvSpPr>
      <xdr:spPr>
        <a:xfrm>
          <a:off x="54000" y="0"/>
          <a:ext cx="4457280" cy="10838625"/>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twoCellAnchor editAs="oneCell">
    <xdr:from>
      <xdr:col>0</xdr:col>
      <xdr:colOff>54000</xdr:colOff>
      <xdr:row>0</xdr:row>
      <xdr:rowOff>0</xdr:rowOff>
    </xdr:from>
    <xdr:to>
      <xdr:col>2</xdr:col>
      <xdr:colOff>529830</xdr:colOff>
      <xdr:row>53</xdr:row>
      <xdr:rowOff>180150</xdr:rowOff>
    </xdr:to>
    <xdr:sp macro="" textlink="">
      <xdr:nvSpPr>
        <xdr:cNvPr id="3" name="CustomShape 1" hidden="1">
          <a:extLst>
            <a:ext uri="{FF2B5EF4-FFF2-40B4-BE49-F238E27FC236}">
              <a16:creationId xmlns:a16="http://schemas.microsoft.com/office/drawing/2014/main" xmlns="" id="{00000000-0008-0000-0B00-000003000000}"/>
            </a:ext>
          </a:extLst>
        </xdr:cNvPr>
        <xdr:cNvSpPr/>
      </xdr:nvSpPr>
      <xdr:spPr>
        <a:xfrm>
          <a:off x="54000" y="0"/>
          <a:ext cx="4457280" cy="10838625"/>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54000</xdr:colOff>
      <xdr:row>0</xdr:row>
      <xdr:rowOff>0</xdr:rowOff>
    </xdr:from>
    <xdr:to>
      <xdr:col>2</xdr:col>
      <xdr:colOff>529830</xdr:colOff>
      <xdr:row>52</xdr:row>
      <xdr:rowOff>193758</xdr:rowOff>
    </xdr:to>
    <xdr:sp macro="" textlink="">
      <xdr:nvSpPr>
        <xdr:cNvPr id="2" name="CustomShape 1" hidden="1">
          <a:extLst>
            <a:ext uri="{FF2B5EF4-FFF2-40B4-BE49-F238E27FC236}">
              <a16:creationId xmlns:a16="http://schemas.microsoft.com/office/drawing/2014/main" xmlns="" id="{00000000-0008-0000-0C00-000002000000}"/>
            </a:ext>
          </a:extLst>
        </xdr:cNvPr>
        <xdr:cNvSpPr/>
      </xdr:nvSpPr>
      <xdr:spPr>
        <a:xfrm>
          <a:off x="54000" y="0"/>
          <a:ext cx="4457280" cy="10842708"/>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twoCellAnchor editAs="oneCell">
    <xdr:from>
      <xdr:col>0</xdr:col>
      <xdr:colOff>54000</xdr:colOff>
      <xdr:row>0</xdr:row>
      <xdr:rowOff>0</xdr:rowOff>
    </xdr:from>
    <xdr:to>
      <xdr:col>2</xdr:col>
      <xdr:colOff>529830</xdr:colOff>
      <xdr:row>52</xdr:row>
      <xdr:rowOff>193758</xdr:rowOff>
    </xdr:to>
    <xdr:sp macro="" textlink="">
      <xdr:nvSpPr>
        <xdr:cNvPr id="3" name="CustomShape 1" hidden="1">
          <a:extLst>
            <a:ext uri="{FF2B5EF4-FFF2-40B4-BE49-F238E27FC236}">
              <a16:creationId xmlns:a16="http://schemas.microsoft.com/office/drawing/2014/main" xmlns="" id="{00000000-0008-0000-0C00-000003000000}"/>
            </a:ext>
          </a:extLst>
        </xdr:cNvPr>
        <xdr:cNvSpPr/>
      </xdr:nvSpPr>
      <xdr:spPr>
        <a:xfrm>
          <a:off x="54000" y="0"/>
          <a:ext cx="4457280" cy="10842708"/>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54000</xdr:colOff>
      <xdr:row>0</xdr:row>
      <xdr:rowOff>0</xdr:rowOff>
    </xdr:from>
    <xdr:to>
      <xdr:col>2</xdr:col>
      <xdr:colOff>529830</xdr:colOff>
      <xdr:row>53</xdr:row>
      <xdr:rowOff>180150</xdr:rowOff>
    </xdr:to>
    <xdr:sp macro="" textlink="">
      <xdr:nvSpPr>
        <xdr:cNvPr id="2" name="CustomShape 1" hidden="1">
          <a:extLst>
            <a:ext uri="{FF2B5EF4-FFF2-40B4-BE49-F238E27FC236}">
              <a16:creationId xmlns:a16="http://schemas.microsoft.com/office/drawing/2014/main" xmlns="" id="{00000000-0008-0000-0F00-000002000000}"/>
            </a:ext>
          </a:extLst>
        </xdr:cNvPr>
        <xdr:cNvSpPr/>
      </xdr:nvSpPr>
      <xdr:spPr>
        <a:xfrm>
          <a:off x="54000" y="0"/>
          <a:ext cx="4457280" cy="10838625"/>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twoCellAnchor editAs="oneCell">
    <xdr:from>
      <xdr:col>0</xdr:col>
      <xdr:colOff>54000</xdr:colOff>
      <xdr:row>0</xdr:row>
      <xdr:rowOff>0</xdr:rowOff>
    </xdr:from>
    <xdr:to>
      <xdr:col>2</xdr:col>
      <xdr:colOff>529830</xdr:colOff>
      <xdr:row>53</xdr:row>
      <xdr:rowOff>180150</xdr:rowOff>
    </xdr:to>
    <xdr:sp macro="" textlink="">
      <xdr:nvSpPr>
        <xdr:cNvPr id="3" name="CustomShape 1" hidden="1">
          <a:extLst>
            <a:ext uri="{FF2B5EF4-FFF2-40B4-BE49-F238E27FC236}">
              <a16:creationId xmlns:a16="http://schemas.microsoft.com/office/drawing/2014/main" xmlns="" id="{00000000-0008-0000-0F00-000003000000}"/>
            </a:ext>
          </a:extLst>
        </xdr:cNvPr>
        <xdr:cNvSpPr/>
      </xdr:nvSpPr>
      <xdr:spPr>
        <a:xfrm>
          <a:off x="54000" y="0"/>
          <a:ext cx="4457280" cy="10838625"/>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54000</xdr:colOff>
      <xdr:row>0</xdr:row>
      <xdr:rowOff>0</xdr:rowOff>
    </xdr:from>
    <xdr:to>
      <xdr:col>2</xdr:col>
      <xdr:colOff>529830</xdr:colOff>
      <xdr:row>53</xdr:row>
      <xdr:rowOff>180150</xdr:rowOff>
    </xdr:to>
    <xdr:sp macro="" textlink="">
      <xdr:nvSpPr>
        <xdr:cNvPr id="2" name="CustomShape 1" hidden="1">
          <a:extLst>
            <a:ext uri="{FF2B5EF4-FFF2-40B4-BE49-F238E27FC236}">
              <a16:creationId xmlns:a16="http://schemas.microsoft.com/office/drawing/2014/main" xmlns="" id="{00000000-0008-0000-0E00-000002000000}"/>
            </a:ext>
          </a:extLst>
        </xdr:cNvPr>
        <xdr:cNvSpPr/>
      </xdr:nvSpPr>
      <xdr:spPr>
        <a:xfrm>
          <a:off x="54000" y="0"/>
          <a:ext cx="4457280" cy="10838625"/>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twoCellAnchor editAs="oneCell">
    <xdr:from>
      <xdr:col>0</xdr:col>
      <xdr:colOff>54000</xdr:colOff>
      <xdr:row>0</xdr:row>
      <xdr:rowOff>0</xdr:rowOff>
    </xdr:from>
    <xdr:to>
      <xdr:col>2</xdr:col>
      <xdr:colOff>529830</xdr:colOff>
      <xdr:row>53</xdr:row>
      <xdr:rowOff>180150</xdr:rowOff>
    </xdr:to>
    <xdr:sp macro="" textlink="">
      <xdr:nvSpPr>
        <xdr:cNvPr id="3" name="CustomShape 1" hidden="1">
          <a:extLst>
            <a:ext uri="{FF2B5EF4-FFF2-40B4-BE49-F238E27FC236}">
              <a16:creationId xmlns:a16="http://schemas.microsoft.com/office/drawing/2014/main" xmlns="" id="{00000000-0008-0000-0E00-000003000000}"/>
            </a:ext>
          </a:extLst>
        </xdr:cNvPr>
        <xdr:cNvSpPr/>
      </xdr:nvSpPr>
      <xdr:spPr>
        <a:xfrm>
          <a:off x="54000" y="0"/>
          <a:ext cx="4457280" cy="10838625"/>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54000</xdr:colOff>
      <xdr:row>0</xdr:row>
      <xdr:rowOff>0</xdr:rowOff>
    </xdr:from>
    <xdr:to>
      <xdr:col>2</xdr:col>
      <xdr:colOff>529830</xdr:colOff>
      <xdr:row>53</xdr:row>
      <xdr:rowOff>180150</xdr:rowOff>
    </xdr:to>
    <xdr:sp macro="" textlink="">
      <xdr:nvSpPr>
        <xdr:cNvPr id="2" name="CustomShape 1" hidden="1">
          <a:extLst>
            <a:ext uri="{FF2B5EF4-FFF2-40B4-BE49-F238E27FC236}">
              <a16:creationId xmlns:a16="http://schemas.microsoft.com/office/drawing/2014/main" xmlns="" id="{00000000-0008-0000-0D00-000002000000}"/>
            </a:ext>
          </a:extLst>
        </xdr:cNvPr>
        <xdr:cNvSpPr/>
      </xdr:nvSpPr>
      <xdr:spPr>
        <a:xfrm>
          <a:off x="54000" y="0"/>
          <a:ext cx="4457280" cy="10838625"/>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twoCellAnchor editAs="oneCell">
    <xdr:from>
      <xdr:col>0</xdr:col>
      <xdr:colOff>54000</xdr:colOff>
      <xdr:row>0</xdr:row>
      <xdr:rowOff>0</xdr:rowOff>
    </xdr:from>
    <xdr:to>
      <xdr:col>2</xdr:col>
      <xdr:colOff>529830</xdr:colOff>
      <xdr:row>53</xdr:row>
      <xdr:rowOff>180150</xdr:rowOff>
    </xdr:to>
    <xdr:sp macro="" textlink="">
      <xdr:nvSpPr>
        <xdr:cNvPr id="3" name="CustomShape 1" hidden="1">
          <a:extLst>
            <a:ext uri="{FF2B5EF4-FFF2-40B4-BE49-F238E27FC236}">
              <a16:creationId xmlns:a16="http://schemas.microsoft.com/office/drawing/2014/main" xmlns="" id="{00000000-0008-0000-0D00-000003000000}"/>
            </a:ext>
          </a:extLst>
        </xdr:cNvPr>
        <xdr:cNvSpPr/>
      </xdr:nvSpPr>
      <xdr:spPr>
        <a:xfrm>
          <a:off x="54000" y="0"/>
          <a:ext cx="4457280" cy="10838625"/>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54000</xdr:colOff>
      <xdr:row>0</xdr:row>
      <xdr:rowOff>0</xdr:rowOff>
    </xdr:from>
    <xdr:to>
      <xdr:col>2</xdr:col>
      <xdr:colOff>529830</xdr:colOff>
      <xdr:row>53</xdr:row>
      <xdr:rowOff>180150</xdr:rowOff>
    </xdr:to>
    <xdr:sp macro="" textlink="">
      <xdr:nvSpPr>
        <xdr:cNvPr id="2" name="CustomShape 1" hidden="1">
          <a:extLst>
            <a:ext uri="{FF2B5EF4-FFF2-40B4-BE49-F238E27FC236}">
              <a16:creationId xmlns:a16="http://schemas.microsoft.com/office/drawing/2014/main" xmlns="" id="{00000000-0008-0000-0100-000002000000}"/>
            </a:ext>
          </a:extLst>
        </xdr:cNvPr>
        <xdr:cNvSpPr/>
      </xdr:nvSpPr>
      <xdr:spPr>
        <a:xfrm>
          <a:off x="54000" y="0"/>
          <a:ext cx="4457280" cy="10838625"/>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twoCellAnchor editAs="oneCell">
    <xdr:from>
      <xdr:col>0</xdr:col>
      <xdr:colOff>54000</xdr:colOff>
      <xdr:row>0</xdr:row>
      <xdr:rowOff>0</xdr:rowOff>
    </xdr:from>
    <xdr:to>
      <xdr:col>2</xdr:col>
      <xdr:colOff>529830</xdr:colOff>
      <xdr:row>53</xdr:row>
      <xdr:rowOff>180150</xdr:rowOff>
    </xdr:to>
    <xdr:sp macro="" textlink="">
      <xdr:nvSpPr>
        <xdr:cNvPr id="3" name="CustomShape 1" hidden="1">
          <a:extLst>
            <a:ext uri="{FF2B5EF4-FFF2-40B4-BE49-F238E27FC236}">
              <a16:creationId xmlns:a16="http://schemas.microsoft.com/office/drawing/2014/main" xmlns="" id="{00000000-0008-0000-0100-000003000000}"/>
            </a:ext>
          </a:extLst>
        </xdr:cNvPr>
        <xdr:cNvSpPr/>
      </xdr:nvSpPr>
      <xdr:spPr>
        <a:xfrm>
          <a:off x="54000" y="0"/>
          <a:ext cx="4457280" cy="10838625"/>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54000</xdr:colOff>
      <xdr:row>0</xdr:row>
      <xdr:rowOff>0</xdr:rowOff>
    </xdr:from>
    <xdr:to>
      <xdr:col>1</xdr:col>
      <xdr:colOff>2965509</xdr:colOff>
      <xdr:row>52</xdr:row>
      <xdr:rowOff>193758</xdr:rowOff>
    </xdr:to>
    <xdr:sp macro="" textlink="">
      <xdr:nvSpPr>
        <xdr:cNvPr id="2" name="CustomShape 1" hidden="1">
          <a:extLst>
            <a:ext uri="{FF2B5EF4-FFF2-40B4-BE49-F238E27FC236}">
              <a16:creationId xmlns:a16="http://schemas.microsoft.com/office/drawing/2014/main" xmlns="" id="{00000000-0008-0000-0200-000002000000}"/>
            </a:ext>
          </a:extLst>
        </xdr:cNvPr>
        <xdr:cNvSpPr/>
      </xdr:nvSpPr>
      <xdr:spPr>
        <a:xfrm>
          <a:off x="54000" y="0"/>
          <a:ext cx="4457280" cy="10842708"/>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twoCellAnchor editAs="oneCell">
    <xdr:from>
      <xdr:col>0</xdr:col>
      <xdr:colOff>54000</xdr:colOff>
      <xdr:row>0</xdr:row>
      <xdr:rowOff>0</xdr:rowOff>
    </xdr:from>
    <xdr:to>
      <xdr:col>1</xdr:col>
      <xdr:colOff>2965509</xdr:colOff>
      <xdr:row>52</xdr:row>
      <xdr:rowOff>193758</xdr:rowOff>
    </xdr:to>
    <xdr:sp macro="" textlink="">
      <xdr:nvSpPr>
        <xdr:cNvPr id="3" name="CustomShape 1" hidden="1">
          <a:extLst>
            <a:ext uri="{FF2B5EF4-FFF2-40B4-BE49-F238E27FC236}">
              <a16:creationId xmlns:a16="http://schemas.microsoft.com/office/drawing/2014/main" xmlns="" id="{00000000-0008-0000-0200-000003000000}"/>
            </a:ext>
          </a:extLst>
        </xdr:cNvPr>
        <xdr:cNvSpPr/>
      </xdr:nvSpPr>
      <xdr:spPr>
        <a:xfrm>
          <a:off x="54000" y="0"/>
          <a:ext cx="4457280" cy="10842708"/>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54000</xdr:colOff>
      <xdr:row>0</xdr:row>
      <xdr:rowOff>0</xdr:rowOff>
    </xdr:from>
    <xdr:to>
      <xdr:col>2</xdr:col>
      <xdr:colOff>529830</xdr:colOff>
      <xdr:row>53</xdr:row>
      <xdr:rowOff>180150</xdr:rowOff>
    </xdr:to>
    <xdr:sp macro="" textlink="">
      <xdr:nvSpPr>
        <xdr:cNvPr id="2" name="CustomShape 1" hidden="1">
          <a:extLst>
            <a:ext uri="{FF2B5EF4-FFF2-40B4-BE49-F238E27FC236}">
              <a16:creationId xmlns:a16="http://schemas.microsoft.com/office/drawing/2014/main" xmlns="" id="{00000000-0008-0000-0300-000002000000}"/>
            </a:ext>
          </a:extLst>
        </xdr:cNvPr>
        <xdr:cNvSpPr/>
      </xdr:nvSpPr>
      <xdr:spPr>
        <a:xfrm>
          <a:off x="54000" y="0"/>
          <a:ext cx="4457280" cy="10838625"/>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twoCellAnchor editAs="oneCell">
    <xdr:from>
      <xdr:col>0</xdr:col>
      <xdr:colOff>54000</xdr:colOff>
      <xdr:row>0</xdr:row>
      <xdr:rowOff>0</xdr:rowOff>
    </xdr:from>
    <xdr:to>
      <xdr:col>2</xdr:col>
      <xdr:colOff>529830</xdr:colOff>
      <xdr:row>53</xdr:row>
      <xdr:rowOff>180150</xdr:rowOff>
    </xdr:to>
    <xdr:sp macro="" textlink="">
      <xdr:nvSpPr>
        <xdr:cNvPr id="3" name="CustomShape 1" hidden="1">
          <a:extLst>
            <a:ext uri="{FF2B5EF4-FFF2-40B4-BE49-F238E27FC236}">
              <a16:creationId xmlns:a16="http://schemas.microsoft.com/office/drawing/2014/main" xmlns="" id="{00000000-0008-0000-0300-000003000000}"/>
            </a:ext>
          </a:extLst>
        </xdr:cNvPr>
        <xdr:cNvSpPr/>
      </xdr:nvSpPr>
      <xdr:spPr>
        <a:xfrm>
          <a:off x="54000" y="0"/>
          <a:ext cx="4457280" cy="10838625"/>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54000</xdr:colOff>
      <xdr:row>0</xdr:row>
      <xdr:rowOff>0</xdr:rowOff>
    </xdr:from>
    <xdr:to>
      <xdr:col>2</xdr:col>
      <xdr:colOff>529830</xdr:colOff>
      <xdr:row>53</xdr:row>
      <xdr:rowOff>180150</xdr:rowOff>
    </xdr:to>
    <xdr:sp macro="" textlink="">
      <xdr:nvSpPr>
        <xdr:cNvPr id="2" name="CustomShape 1" hidden="1">
          <a:extLst>
            <a:ext uri="{FF2B5EF4-FFF2-40B4-BE49-F238E27FC236}">
              <a16:creationId xmlns:a16="http://schemas.microsoft.com/office/drawing/2014/main" xmlns="" id="{00000000-0008-0000-0400-000002000000}"/>
            </a:ext>
          </a:extLst>
        </xdr:cNvPr>
        <xdr:cNvSpPr/>
      </xdr:nvSpPr>
      <xdr:spPr>
        <a:xfrm>
          <a:off x="54000" y="0"/>
          <a:ext cx="4457280" cy="10838625"/>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twoCellAnchor editAs="oneCell">
    <xdr:from>
      <xdr:col>0</xdr:col>
      <xdr:colOff>54000</xdr:colOff>
      <xdr:row>0</xdr:row>
      <xdr:rowOff>0</xdr:rowOff>
    </xdr:from>
    <xdr:to>
      <xdr:col>2</xdr:col>
      <xdr:colOff>529830</xdr:colOff>
      <xdr:row>53</xdr:row>
      <xdr:rowOff>180150</xdr:rowOff>
    </xdr:to>
    <xdr:sp macro="" textlink="">
      <xdr:nvSpPr>
        <xdr:cNvPr id="3" name="CustomShape 1" hidden="1">
          <a:extLst>
            <a:ext uri="{FF2B5EF4-FFF2-40B4-BE49-F238E27FC236}">
              <a16:creationId xmlns:a16="http://schemas.microsoft.com/office/drawing/2014/main" xmlns="" id="{00000000-0008-0000-0400-000003000000}"/>
            </a:ext>
          </a:extLst>
        </xdr:cNvPr>
        <xdr:cNvSpPr/>
      </xdr:nvSpPr>
      <xdr:spPr>
        <a:xfrm>
          <a:off x="54000" y="0"/>
          <a:ext cx="4457280" cy="10838625"/>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54000</xdr:colOff>
      <xdr:row>0</xdr:row>
      <xdr:rowOff>0</xdr:rowOff>
    </xdr:from>
    <xdr:to>
      <xdr:col>2</xdr:col>
      <xdr:colOff>529830</xdr:colOff>
      <xdr:row>53</xdr:row>
      <xdr:rowOff>180150</xdr:rowOff>
    </xdr:to>
    <xdr:sp macro="" textlink="">
      <xdr:nvSpPr>
        <xdr:cNvPr id="2" name="CustomShape 1" hidden="1">
          <a:extLst>
            <a:ext uri="{FF2B5EF4-FFF2-40B4-BE49-F238E27FC236}">
              <a16:creationId xmlns:a16="http://schemas.microsoft.com/office/drawing/2014/main" xmlns="" id="{00000000-0008-0000-0500-000002000000}"/>
            </a:ext>
          </a:extLst>
        </xdr:cNvPr>
        <xdr:cNvSpPr/>
      </xdr:nvSpPr>
      <xdr:spPr>
        <a:xfrm>
          <a:off x="54000" y="0"/>
          <a:ext cx="4457280" cy="10838625"/>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twoCellAnchor editAs="oneCell">
    <xdr:from>
      <xdr:col>0</xdr:col>
      <xdr:colOff>54000</xdr:colOff>
      <xdr:row>0</xdr:row>
      <xdr:rowOff>0</xdr:rowOff>
    </xdr:from>
    <xdr:to>
      <xdr:col>2</xdr:col>
      <xdr:colOff>529830</xdr:colOff>
      <xdr:row>53</xdr:row>
      <xdr:rowOff>180150</xdr:rowOff>
    </xdr:to>
    <xdr:sp macro="" textlink="">
      <xdr:nvSpPr>
        <xdr:cNvPr id="3" name="CustomShape 1" hidden="1">
          <a:extLst>
            <a:ext uri="{FF2B5EF4-FFF2-40B4-BE49-F238E27FC236}">
              <a16:creationId xmlns:a16="http://schemas.microsoft.com/office/drawing/2014/main" xmlns="" id="{00000000-0008-0000-0500-000003000000}"/>
            </a:ext>
          </a:extLst>
        </xdr:cNvPr>
        <xdr:cNvSpPr/>
      </xdr:nvSpPr>
      <xdr:spPr>
        <a:xfrm>
          <a:off x="54000" y="0"/>
          <a:ext cx="4457280" cy="10838625"/>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54000</xdr:colOff>
      <xdr:row>0</xdr:row>
      <xdr:rowOff>0</xdr:rowOff>
    </xdr:from>
    <xdr:to>
      <xdr:col>2</xdr:col>
      <xdr:colOff>529830</xdr:colOff>
      <xdr:row>53</xdr:row>
      <xdr:rowOff>180150</xdr:rowOff>
    </xdr:to>
    <xdr:sp macro="" textlink="">
      <xdr:nvSpPr>
        <xdr:cNvPr id="2" name="CustomShape 1" hidden="1">
          <a:extLst>
            <a:ext uri="{FF2B5EF4-FFF2-40B4-BE49-F238E27FC236}">
              <a16:creationId xmlns:a16="http://schemas.microsoft.com/office/drawing/2014/main" xmlns="" id="{00000000-0008-0000-0600-000002000000}"/>
            </a:ext>
          </a:extLst>
        </xdr:cNvPr>
        <xdr:cNvSpPr/>
      </xdr:nvSpPr>
      <xdr:spPr>
        <a:xfrm>
          <a:off x="54000" y="0"/>
          <a:ext cx="4457280" cy="10838625"/>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twoCellAnchor editAs="oneCell">
    <xdr:from>
      <xdr:col>0</xdr:col>
      <xdr:colOff>54000</xdr:colOff>
      <xdr:row>0</xdr:row>
      <xdr:rowOff>0</xdr:rowOff>
    </xdr:from>
    <xdr:to>
      <xdr:col>2</xdr:col>
      <xdr:colOff>529830</xdr:colOff>
      <xdr:row>53</xdr:row>
      <xdr:rowOff>180150</xdr:rowOff>
    </xdr:to>
    <xdr:sp macro="" textlink="">
      <xdr:nvSpPr>
        <xdr:cNvPr id="3" name="CustomShape 1" hidden="1">
          <a:extLst>
            <a:ext uri="{FF2B5EF4-FFF2-40B4-BE49-F238E27FC236}">
              <a16:creationId xmlns:a16="http://schemas.microsoft.com/office/drawing/2014/main" xmlns="" id="{00000000-0008-0000-0600-000003000000}"/>
            </a:ext>
          </a:extLst>
        </xdr:cNvPr>
        <xdr:cNvSpPr/>
      </xdr:nvSpPr>
      <xdr:spPr>
        <a:xfrm>
          <a:off x="54000" y="0"/>
          <a:ext cx="4457280" cy="10838625"/>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54000</xdr:colOff>
      <xdr:row>0</xdr:row>
      <xdr:rowOff>0</xdr:rowOff>
    </xdr:from>
    <xdr:to>
      <xdr:col>2</xdr:col>
      <xdr:colOff>529830</xdr:colOff>
      <xdr:row>52</xdr:row>
      <xdr:rowOff>193758</xdr:rowOff>
    </xdr:to>
    <xdr:sp macro="" textlink="">
      <xdr:nvSpPr>
        <xdr:cNvPr id="2" name="CustomShape 1" hidden="1">
          <a:extLst>
            <a:ext uri="{FF2B5EF4-FFF2-40B4-BE49-F238E27FC236}">
              <a16:creationId xmlns:a16="http://schemas.microsoft.com/office/drawing/2014/main" xmlns="" id="{00000000-0008-0000-0700-000002000000}"/>
            </a:ext>
          </a:extLst>
        </xdr:cNvPr>
        <xdr:cNvSpPr/>
      </xdr:nvSpPr>
      <xdr:spPr>
        <a:xfrm>
          <a:off x="54000" y="0"/>
          <a:ext cx="4457280" cy="10842708"/>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twoCellAnchor editAs="oneCell">
    <xdr:from>
      <xdr:col>0</xdr:col>
      <xdr:colOff>54000</xdr:colOff>
      <xdr:row>0</xdr:row>
      <xdr:rowOff>0</xdr:rowOff>
    </xdr:from>
    <xdr:to>
      <xdr:col>2</xdr:col>
      <xdr:colOff>529830</xdr:colOff>
      <xdr:row>52</xdr:row>
      <xdr:rowOff>193758</xdr:rowOff>
    </xdr:to>
    <xdr:sp macro="" textlink="">
      <xdr:nvSpPr>
        <xdr:cNvPr id="3" name="CustomShape 1" hidden="1">
          <a:extLst>
            <a:ext uri="{FF2B5EF4-FFF2-40B4-BE49-F238E27FC236}">
              <a16:creationId xmlns:a16="http://schemas.microsoft.com/office/drawing/2014/main" xmlns="" id="{00000000-0008-0000-0700-000003000000}"/>
            </a:ext>
          </a:extLst>
        </xdr:cNvPr>
        <xdr:cNvSpPr/>
      </xdr:nvSpPr>
      <xdr:spPr>
        <a:xfrm>
          <a:off x="54000" y="0"/>
          <a:ext cx="4457280" cy="10842708"/>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54000</xdr:colOff>
      <xdr:row>0</xdr:row>
      <xdr:rowOff>0</xdr:rowOff>
    </xdr:from>
    <xdr:to>
      <xdr:col>2</xdr:col>
      <xdr:colOff>529830</xdr:colOff>
      <xdr:row>53</xdr:row>
      <xdr:rowOff>180150</xdr:rowOff>
    </xdr:to>
    <xdr:sp macro="" textlink="">
      <xdr:nvSpPr>
        <xdr:cNvPr id="2" name="CustomShape 1" hidden="1">
          <a:extLst>
            <a:ext uri="{FF2B5EF4-FFF2-40B4-BE49-F238E27FC236}">
              <a16:creationId xmlns:a16="http://schemas.microsoft.com/office/drawing/2014/main" xmlns="" id="{00000000-0008-0000-0800-000002000000}"/>
            </a:ext>
          </a:extLst>
        </xdr:cNvPr>
        <xdr:cNvSpPr/>
      </xdr:nvSpPr>
      <xdr:spPr>
        <a:xfrm>
          <a:off x="54000" y="0"/>
          <a:ext cx="4457280" cy="10838625"/>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twoCellAnchor editAs="oneCell">
    <xdr:from>
      <xdr:col>0</xdr:col>
      <xdr:colOff>54000</xdr:colOff>
      <xdr:row>0</xdr:row>
      <xdr:rowOff>0</xdr:rowOff>
    </xdr:from>
    <xdr:to>
      <xdr:col>2</xdr:col>
      <xdr:colOff>529830</xdr:colOff>
      <xdr:row>53</xdr:row>
      <xdr:rowOff>180150</xdr:rowOff>
    </xdr:to>
    <xdr:sp macro="" textlink="">
      <xdr:nvSpPr>
        <xdr:cNvPr id="3" name="CustomShape 1" hidden="1">
          <a:extLst>
            <a:ext uri="{FF2B5EF4-FFF2-40B4-BE49-F238E27FC236}">
              <a16:creationId xmlns:a16="http://schemas.microsoft.com/office/drawing/2014/main" xmlns="" id="{00000000-0008-0000-0800-000003000000}"/>
            </a:ext>
          </a:extLst>
        </xdr:cNvPr>
        <xdr:cNvSpPr/>
      </xdr:nvSpPr>
      <xdr:spPr>
        <a:xfrm>
          <a:off x="54000" y="0"/>
          <a:ext cx="4457280" cy="10838625"/>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0.xml"/><Relationship Id="rId1" Type="http://schemas.openxmlformats.org/officeDocument/2006/relationships/printerSettings" Target="../printerSettings/printerSettings10.bin"/><Relationship Id="rId4" Type="http://schemas.openxmlformats.org/officeDocument/2006/relationships/comments" Target="../comments10.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1.xml"/><Relationship Id="rId1" Type="http://schemas.openxmlformats.org/officeDocument/2006/relationships/printerSettings" Target="../printerSettings/printerSettings11.bin"/><Relationship Id="rId4" Type="http://schemas.openxmlformats.org/officeDocument/2006/relationships/comments" Target="../comments11.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2.xml"/><Relationship Id="rId1" Type="http://schemas.openxmlformats.org/officeDocument/2006/relationships/printerSettings" Target="../printerSettings/printerSettings12.bin"/><Relationship Id="rId4" Type="http://schemas.openxmlformats.org/officeDocument/2006/relationships/comments" Target="../comments12.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6.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7.bin"/><Relationship Id="rId4" Type="http://schemas.openxmlformats.org/officeDocument/2006/relationships/comments" Target="../comments7.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8.xml"/><Relationship Id="rId1" Type="http://schemas.openxmlformats.org/officeDocument/2006/relationships/printerSettings" Target="../printerSettings/printerSettings8.bin"/><Relationship Id="rId4" Type="http://schemas.openxmlformats.org/officeDocument/2006/relationships/comments" Target="../comments8.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9.xml"/><Relationship Id="rId1" Type="http://schemas.openxmlformats.org/officeDocument/2006/relationships/printerSettings" Target="../printerSettings/printerSettings9.bin"/><Relationship Id="rId4" Type="http://schemas.openxmlformats.org/officeDocument/2006/relationships/comments" Target="../comments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37"/>
  <sheetViews>
    <sheetView topLeftCell="A55" zoomScale="60" zoomScaleNormal="60" workbookViewId="0">
      <selection activeCell="H101" sqref="H101:H105"/>
    </sheetView>
  </sheetViews>
  <sheetFormatPr defaultRowHeight="15" x14ac:dyDescent="0.25"/>
  <cols>
    <col min="1" max="1" width="4.85546875" bestFit="1" customWidth="1"/>
    <col min="2" max="2" width="54.85546875" customWidth="1"/>
    <col min="3" max="3" width="11.5703125" customWidth="1"/>
    <col min="4" max="4" width="34" customWidth="1"/>
    <col min="5" max="5" width="18" customWidth="1"/>
    <col min="6" max="6" width="25.28515625" bestFit="1" customWidth="1"/>
    <col min="7" max="7" width="11.5703125" bestFit="1" customWidth="1"/>
    <col min="8" max="8" width="17.140625" bestFit="1" customWidth="1"/>
    <col min="9" max="9" width="20.7109375" customWidth="1"/>
    <col min="10" max="10" width="11" bestFit="1" customWidth="1"/>
  </cols>
  <sheetData>
    <row r="1" spans="1:8" x14ac:dyDescent="0.25">
      <c r="A1" s="1"/>
      <c r="B1" s="1"/>
      <c r="C1" s="1"/>
      <c r="D1" s="1"/>
      <c r="E1" s="1"/>
      <c r="F1" s="1"/>
      <c r="G1" s="1"/>
      <c r="H1" s="2"/>
    </row>
    <row r="2" spans="1:8" ht="15.75" x14ac:dyDescent="0.25">
      <c r="A2" s="3"/>
      <c r="B2" s="3" t="s">
        <v>0</v>
      </c>
      <c r="C2" s="3"/>
      <c r="D2" s="4" t="s">
        <v>1</v>
      </c>
      <c r="E2" s="3"/>
      <c r="F2" s="3" t="s">
        <v>2</v>
      </c>
      <c r="G2" s="3"/>
      <c r="H2" s="5" t="s">
        <v>156</v>
      </c>
    </row>
    <row r="3" spans="1:8" ht="15.75" x14ac:dyDescent="0.25">
      <c r="A3" s="269" t="s">
        <v>3</v>
      </c>
      <c r="B3" s="269"/>
      <c r="C3" s="269"/>
      <c r="D3" s="269"/>
      <c r="E3" s="269"/>
      <c r="F3" s="269"/>
      <c r="G3" s="269"/>
      <c r="H3" s="269"/>
    </row>
    <row r="4" spans="1:8" ht="15.75" x14ac:dyDescent="0.25">
      <c r="A4" s="6" t="s">
        <v>4</v>
      </c>
      <c r="B4" s="7" t="s">
        <v>5</v>
      </c>
      <c r="C4" s="7"/>
      <c r="D4" s="8"/>
      <c r="E4" s="287" t="s">
        <v>6</v>
      </c>
      <c r="F4" s="287"/>
      <c r="G4" s="287"/>
      <c r="H4" s="287"/>
    </row>
    <row r="5" spans="1:8" ht="15.75" x14ac:dyDescent="0.25">
      <c r="A5" s="6" t="s">
        <v>7</v>
      </c>
      <c r="B5" s="7" t="s">
        <v>8</v>
      </c>
      <c r="C5" s="7"/>
      <c r="D5" s="9"/>
      <c r="E5" s="287"/>
      <c r="F5" s="287"/>
      <c r="G5" s="287"/>
      <c r="H5" s="287"/>
    </row>
    <row r="6" spans="1:8" ht="15.75" x14ac:dyDescent="0.25">
      <c r="A6" s="6" t="s">
        <v>9</v>
      </c>
      <c r="B6" s="7" t="s">
        <v>10</v>
      </c>
      <c r="C6" s="7"/>
      <c r="D6" s="10" t="s">
        <v>11</v>
      </c>
      <c r="E6" s="287"/>
      <c r="F6" s="287"/>
      <c r="G6" s="287"/>
      <c r="H6" s="287"/>
    </row>
    <row r="7" spans="1:8" ht="15.75" x14ac:dyDescent="0.25">
      <c r="A7" s="288"/>
      <c r="B7" s="288"/>
      <c r="C7" s="288"/>
      <c r="D7" s="288"/>
      <c r="E7" s="11"/>
      <c r="F7" s="11"/>
      <c r="G7" s="11"/>
      <c r="H7" s="11"/>
    </row>
    <row r="8" spans="1:8" ht="15.75" x14ac:dyDescent="0.25">
      <c r="A8" s="269" t="s">
        <v>12</v>
      </c>
      <c r="B8" s="269"/>
      <c r="C8" s="269"/>
      <c r="D8" s="269"/>
      <c r="E8" s="269"/>
      <c r="F8" s="269"/>
      <c r="G8" s="269"/>
      <c r="H8" s="269"/>
    </row>
    <row r="9" spans="1:8" x14ac:dyDescent="0.25">
      <c r="A9" s="12" t="s">
        <v>4</v>
      </c>
      <c r="B9" s="13" t="s">
        <v>13</v>
      </c>
      <c r="C9" s="13"/>
      <c r="D9" s="281" t="s">
        <v>14</v>
      </c>
      <c r="E9" s="281"/>
      <c r="F9" s="281"/>
      <c r="G9" s="281"/>
      <c r="H9" s="281"/>
    </row>
    <row r="10" spans="1:8" x14ac:dyDescent="0.25">
      <c r="A10" s="12" t="s">
        <v>7</v>
      </c>
      <c r="B10" s="13" t="s">
        <v>15</v>
      </c>
      <c r="C10" s="13"/>
      <c r="D10" s="289" t="s">
        <v>154</v>
      </c>
      <c r="E10" s="289"/>
      <c r="F10" s="289"/>
      <c r="G10" s="289"/>
      <c r="H10" s="289"/>
    </row>
    <row r="11" spans="1:8" x14ac:dyDescent="0.25">
      <c r="A11" s="12" t="s">
        <v>9</v>
      </c>
      <c r="B11" s="13" t="s">
        <v>16</v>
      </c>
      <c r="C11" s="13"/>
      <c r="D11" s="289" t="s">
        <v>173</v>
      </c>
      <c r="E11" s="289"/>
      <c r="F11" s="289"/>
      <c r="G11" s="289"/>
      <c r="H11" s="289"/>
    </row>
    <row r="12" spans="1:8" x14ac:dyDescent="0.25">
      <c r="A12" s="12" t="s">
        <v>17</v>
      </c>
      <c r="B12" s="13" t="s">
        <v>18</v>
      </c>
      <c r="C12" s="13"/>
      <c r="D12" s="289">
        <v>12</v>
      </c>
      <c r="E12" s="289"/>
      <c r="F12" s="289"/>
      <c r="G12" s="289"/>
      <c r="H12" s="289"/>
    </row>
    <row r="13" spans="1:8" x14ac:dyDescent="0.25">
      <c r="A13" s="12"/>
      <c r="B13" s="13"/>
      <c r="C13" s="13"/>
      <c r="D13" s="14"/>
      <c r="E13" s="14"/>
      <c r="F13" s="14"/>
      <c r="G13" s="14"/>
      <c r="H13" s="15"/>
    </row>
    <row r="14" spans="1:8" ht="15.75" x14ac:dyDescent="0.25">
      <c r="A14" s="269" t="s">
        <v>19</v>
      </c>
      <c r="B14" s="269"/>
      <c r="C14" s="269"/>
      <c r="D14" s="269"/>
      <c r="E14" s="269"/>
      <c r="F14" s="269"/>
      <c r="G14" s="269"/>
      <c r="H14" s="269"/>
    </row>
    <row r="15" spans="1:8" ht="15.75" x14ac:dyDescent="0.25">
      <c r="A15" s="12"/>
      <c r="B15" s="16" t="s">
        <v>20</v>
      </c>
      <c r="C15" s="16"/>
      <c r="D15" s="17" t="s">
        <v>21</v>
      </c>
      <c r="E15" s="290" t="s">
        <v>22</v>
      </c>
      <c r="F15" s="290"/>
      <c r="G15" s="290"/>
      <c r="H15" s="290"/>
    </row>
    <row r="16" spans="1:8" x14ac:dyDescent="0.25">
      <c r="A16" s="12" t="s">
        <v>4</v>
      </c>
      <c r="B16" s="18" t="s">
        <v>172</v>
      </c>
      <c r="C16" s="19"/>
      <c r="D16" s="20" t="s">
        <v>23</v>
      </c>
      <c r="E16" s="291">
        <v>1</v>
      </c>
      <c r="F16" s="291"/>
      <c r="G16" s="291"/>
      <c r="H16" s="291"/>
    </row>
    <row r="17" spans="1:9" x14ac:dyDescent="0.25">
      <c r="A17" s="12" t="s">
        <v>7</v>
      </c>
      <c r="B17" s="13"/>
      <c r="C17" s="13"/>
      <c r="D17" s="21"/>
      <c r="E17" s="279"/>
      <c r="F17" s="279"/>
      <c r="G17" s="279"/>
      <c r="H17" s="279"/>
    </row>
    <row r="18" spans="1:9" x14ac:dyDescent="0.25">
      <c r="A18" s="12" t="s">
        <v>9</v>
      </c>
      <c r="B18" s="13"/>
      <c r="C18" s="13"/>
      <c r="D18" s="21"/>
      <c r="E18" s="279"/>
      <c r="F18" s="279"/>
      <c r="G18" s="279"/>
      <c r="H18" s="279"/>
    </row>
    <row r="19" spans="1:9" ht="15.75" x14ac:dyDescent="0.25">
      <c r="A19" s="110"/>
      <c r="B19" s="269" t="s">
        <v>24</v>
      </c>
      <c r="C19" s="269"/>
      <c r="D19" s="269"/>
      <c r="E19" s="269"/>
      <c r="F19" s="269"/>
      <c r="G19" s="269"/>
      <c r="H19" s="269"/>
    </row>
    <row r="20" spans="1:9" ht="15.75" x14ac:dyDescent="0.25">
      <c r="A20" s="280" t="s">
        <v>25</v>
      </c>
      <c r="B20" s="280"/>
      <c r="C20" s="280"/>
      <c r="D20" s="280"/>
      <c r="E20" s="280"/>
      <c r="F20" s="280"/>
      <c r="G20" s="280"/>
      <c r="H20" s="280"/>
    </row>
    <row r="21" spans="1:9" x14ac:dyDescent="0.25">
      <c r="A21" s="12">
        <v>1</v>
      </c>
      <c r="B21" s="13" t="s">
        <v>20</v>
      </c>
      <c r="C21" s="13"/>
      <c r="D21" s="281" t="s">
        <v>168</v>
      </c>
      <c r="E21" s="281"/>
      <c r="F21" s="281"/>
      <c r="G21" s="281"/>
      <c r="H21" s="281"/>
    </row>
    <row r="22" spans="1:9" x14ac:dyDescent="0.25">
      <c r="A22" s="12">
        <v>2</v>
      </c>
      <c r="B22" s="13" t="s">
        <v>26</v>
      </c>
      <c r="C22" s="13"/>
      <c r="D22" s="282" t="s">
        <v>169</v>
      </c>
      <c r="E22" s="282"/>
      <c r="F22" s="282"/>
      <c r="G22" s="282"/>
      <c r="H22" s="282"/>
    </row>
    <row r="23" spans="1:9" x14ac:dyDescent="0.25">
      <c r="A23" s="12">
        <v>3</v>
      </c>
      <c r="B23" s="13" t="s">
        <v>27</v>
      </c>
      <c r="C23" s="13"/>
      <c r="D23" s="22">
        <v>1298.78</v>
      </c>
      <c r="E23" s="23"/>
      <c r="F23" s="23"/>
      <c r="G23" s="23"/>
      <c r="H23" s="23"/>
    </row>
    <row r="24" spans="1:9" ht="30" x14ac:dyDescent="0.25">
      <c r="A24" s="1">
        <v>4</v>
      </c>
      <c r="B24" s="24" t="s">
        <v>28</v>
      </c>
      <c r="C24" s="24"/>
      <c r="D24" s="283" t="s">
        <v>157</v>
      </c>
      <c r="E24" s="283"/>
      <c r="F24" s="283"/>
      <c r="G24" s="283"/>
      <c r="H24" s="283"/>
    </row>
    <row r="25" spans="1:9" x14ac:dyDescent="0.25">
      <c r="A25" s="1">
        <v>5</v>
      </c>
      <c r="B25" s="25" t="s">
        <v>29</v>
      </c>
      <c r="C25" s="25"/>
      <c r="D25" s="284" t="s">
        <v>158</v>
      </c>
      <c r="E25" s="284"/>
      <c r="F25" s="284"/>
      <c r="G25" s="284"/>
      <c r="H25" s="284"/>
    </row>
    <row r="26" spans="1:9" ht="15.75" x14ac:dyDescent="0.25">
      <c r="A26" s="26">
        <v>1</v>
      </c>
      <c r="B26" s="267" t="s">
        <v>30</v>
      </c>
      <c r="C26" s="267"/>
      <c r="D26" s="267"/>
      <c r="E26" s="267"/>
      <c r="F26" s="267"/>
      <c r="G26" s="267"/>
      <c r="H26" s="267"/>
    </row>
    <row r="27" spans="1:9" ht="15.75" x14ac:dyDescent="0.25">
      <c r="A27" s="1" t="s">
        <v>4</v>
      </c>
      <c r="B27" s="27" t="s">
        <v>31</v>
      </c>
      <c r="C27" s="27"/>
      <c r="D27" s="27"/>
      <c r="G27" s="28"/>
      <c r="H27" s="29">
        <v>1298.78</v>
      </c>
    </row>
    <row r="28" spans="1:9" ht="15.75" x14ac:dyDescent="0.25">
      <c r="A28" s="1" t="s">
        <v>7</v>
      </c>
      <c r="B28" s="6" t="s">
        <v>32</v>
      </c>
      <c r="C28" s="6"/>
      <c r="D28" s="30"/>
      <c r="E28" s="31">
        <v>0</v>
      </c>
      <c r="H28" s="32">
        <v>0</v>
      </c>
    </row>
    <row r="29" spans="1:9" ht="15.75" x14ac:dyDescent="0.25">
      <c r="A29" s="1" t="s">
        <v>9</v>
      </c>
      <c r="B29" s="6" t="s">
        <v>34</v>
      </c>
      <c r="C29" s="6"/>
      <c r="D29" s="33" t="s">
        <v>35</v>
      </c>
      <c r="E29" s="34" t="s">
        <v>36</v>
      </c>
      <c r="F29" s="33" t="s">
        <v>37</v>
      </c>
      <c r="G29" s="35"/>
      <c r="H29" s="32">
        <f>E31*F31</f>
        <v>0</v>
      </c>
    </row>
    <row r="30" spans="1:9" ht="15.75" x14ac:dyDescent="0.25">
      <c r="A30" s="1" t="s">
        <v>17</v>
      </c>
      <c r="B30" s="6" t="s">
        <v>167</v>
      </c>
      <c r="C30" s="6"/>
      <c r="D30" s="33"/>
      <c r="E30" s="34"/>
      <c r="F30" s="33"/>
      <c r="G30" s="35"/>
      <c r="H30" s="32">
        <v>0</v>
      </c>
      <c r="I30">
        <v>40</v>
      </c>
    </row>
    <row r="31" spans="1:9" ht="15.75" x14ac:dyDescent="0.25">
      <c r="A31" s="1" t="s">
        <v>40</v>
      </c>
      <c r="B31" s="6" t="s">
        <v>38</v>
      </c>
      <c r="C31" s="6"/>
      <c r="D31" s="30" t="s">
        <v>39</v>
      </c>
      <c r="E31" s="36">
        <v>0</v>
      </c>
      <c r="F31" s="37">
        <v>954</v>
      </c>
      <c r="G31" s="27"/>
      <c r="H31" s="38">
        <v>24.6</v>
      </c>
      <c r="I31">
        <v>120</v>
      </c>
    </row>
    <row r="32" spans="1:9" ht="15.75" x14ac:dyDescent="0.25">
      <c r="A32" s="1" t="s">
        <v>42</v>
      </c>
      <c r="B32" s="6" t="s">
        <v>41</v>
      </c>
      <c r="C32" s="6"/>
      <c r="G32" s="35"/>
      <c r="H32" s="38">
        <v>3.51</v>
      </c>
    </row>
    <row r="33" spans="1:9" ht="15.75" x14ac:dyDescent="0.25">
      <c r="A33" s="1" t="s">
        <v>61</v>
      </c>
      <c r="B33" s="6" t="s">
        <v>159</v>
      </c>
      <c r="C33" s="6"/>
      <c r="G33" s="35"/>
      <c r="H33" s="38">
        <v>6.44</v>
      </c>
    </row>
    <row r="34" spans="1:9" ht="15.75" x14ac:dyDescent="0.25">
      <c r="A34" s="1" t="s">
        <v>43</v>
      </c>
      <c r="B34" s="6" t="s">
        <v>155</v>
      </c>
      <c r="C34" s="6"/>
      <c r="G34" s="35"/>
      <c r="H34" s="38">
        <v>29.52</v>
      </c>
    </row>
    <row r="35" spans="1:9" ht="15.75" x14ac:dyDescent="0.25">
      <c r="A35" s="1" t="s">
        <v>161</v>
      </c>
      <c r="B35" s="8" t="s">
        <v>160</v>
      </c>
      <c r="C35" s="8"/>
      <c r="G35" s="35"/>
      <c r="H35" s="38">
        <v>39.36</v>
      </c>
    </row>
    <row r="36" spans="1:9" ht="15.75" x14ac:dyDescent="0.25">
      <c r="A36" s="1" t="s">
        <v>165</v>
      </c>
      <c r="B36" s="8" t="s">
        <v>162</v>
      </c>
      <c r="C36" s="8"/>
      <c r="G36" s="35"/>
      <c r="H36" s="38">
        <v>15.77</v>
      </c>
    </row>
    <row r="37" spans="1:9" ht="15.75" x14ac:dyDescent="0.25">
      <c r="A37" s="1" t="s">
        <v>166</v>
      </c>
      <c r="B37" s="6" t="s">
        <v>44</v>
      </c>
      <c r="C37" s="6"/>
      <c r="D37" s="27"/>
      <c r="E37" s="27"/>
      <c r="F37" s="35"/>
      <c r="G37" s="35"/>
      <c r="H37" s="35">
        <v>0</v>
      </c>
    </row>
    <row r="38" spans="1:9" ht="15.75" x14ac:dyDescent="0.25">
      <c r="A38" s="39"/>
      <c r="B38" s="40" t="s">
        <v>45</v>
      </c>
      <c r="C38" s="40"/>
      <c r="D38" s="41"/>
      <c r="E38" s="41"/>
      <c r="F38" s="42"/>
      <c r="G38" s="42"/>
      <c r="H38" s="43">
        <f>SUM(H27:H37)</f>
        <v>1417.9799999999998</v>
      </c>
    </row>
    <row r="39" spans="1:9" ht="15.75" x14ac:dyDescent="0.25">
      <c r="A39" s="44">
        <v>2</v>
      </c>
      <c r="B39" s="285" t="s">
        <v>46</v>
      </c>
      <c r="C39" s="285"/>
      <c r="D39" s="285"/>
      <c r="E39" s="285"/>
      <c r="F39" s="285"/>
      <c r="G39" s="285"/>
      <c r="H39" s="285"/>
    </row>
    <row r="40" spans="1:9" ht="15.75" x14ac:dyDescent="0.25">
      <c r="A40" s="113" t="s">
        <v>47</v>
      </c>
      <c r="B40" s="286" t="s">
        <v>48</v>
      </c>
      <c r="C40" s="286"/>
      <c r="D40" s="286"/>
      <c r="E40" s="286"/>
      <c r="F40" s="286"/>
      <c r="G40" s="286"/>
      <c r="H40" s="286"/>
    </row>
    <row r="41" spans="1:9" ht="15.75" x14ac:dyDescent="0.25">
      <c r="A41" s="1" t="s">
        <v>4</v>
      </c>
      <c r="B41" s="8" t="s">
        <v>49</v>
      </c>
      <c r="C41" s="8"/>
      <c r="D41" s="8"/>
      <c r="E41" s="27"/>
      <c r="F41" s="28"/>
      <c r="G41" s="45">
        <v>8.3299999999999999E-2</v>
      </c>
      <c r="H41" s="28">
        <f>SUM($H$38*G41)</f>
        <v>118.11773399999998</v>
      </c>
    </row>
    <row r="42" spans="1:9" ht="15.75" x14ac:dyDescent="0.25">
      <c r="A42" s="1" t="s">
        <v>7</v>
      </c>
      <c r="B42" s="27" t="s">
        <v>50</v>
      </c>
      <c r="C42" s="27"/>
      <c r="D42" s="27"/>
      <c r="E42" s="27"/>
      <c r="F42" s="46"/>
      <c r="G42" s="47">
        <v>0.121</v>
      </c>
      <c r="H42" s="28">
        <f>SUM($H$38*G42)</f>
        <v>171.57557999999997</v>
      </c>
    </row>
    <row r="43" spans="1:9" ht="15.75" x14ac:dyDescent="0.25">
      <c r="A43" s="1" t="s">
        <v>9</v>
      </c>
      <c r="B43" s="48" t="s">
        <v>51</v>
      </c>
      <c r="C43" s="48"/>
      <c r="D43" s="27"/>
      <c r="E43" s="27"/>
      <c r="F43" s="46"/>
      <c r="G43" s="47">
        <f>G42+G41*G54</f>
        <v>0.15165439999999999</v>
      </c>
      <c r="H43" s="28">
        <f>SUM(H41:H42)*G54</f>
        <v>106.60713955200002</v>
      </c>
    </row>
    <row r="44" spans="1:9" ht="15.75" x14ac:dyDescent="0.25">
      <c r="A44" s="49"/>
      <c r="B44" s="50" t="s">
        <v>45</v>
      </c>
      <c r="C44" s="40"/>
      <c r="D44" s="41"/>
      <c r="E44" s="41"/>
      <c r="F44" s="42"/>
      <c r="G44" s="42"/>
      <c r="H44" s="43">
        <f>SUM(H41:H43)</f>
        <v>396.30045355200002</v>
      </c>
    </row>
    <row r="45" spans="1:9" ht="15.75" x14ac:dyDescent="0.25">
      <c r="A45" s="110" t="s">
        <v>52</v>
      </c>
      <c r="B45" s="269" t="s">
        <v>53</v>
      </c>
      <c r="C45" s="269"/>
      <c r="D45" s="269"/>
      <c r="E45" s="269"/>
      <c r="F45" s="269"/>
      <c r="G45" s="269"/>
      <c r="H45" s="269"/>
    </row>
    <row r="46" spans="1:9" ht="15.75" x14ac:dyDescent="0.25">
      <c r="A46" s="1" t="s">
        <v>4</v>
      </c>
      <c r="B46" s="51" t="s">
        <v>54</v>
      </c>
      <c r="C46" s="51"/>
      <c r="D46" s="27"/>
      <c r="E46" s="27"/>
      <c r="F46" s="28"/>
      <c r="G46" s="45">
        <v>0.2</v>
      </c>
      <c r="H46" s="28">
        <f>SUM($H$38*G46)</f>
        <v>283.59599999999995</v>
      </c>
    </row>
    <row r="47" spans="1:9" ht="15.75" x14ac:dyDescent="0.25">
      <c r="A47" s="1" t="s">
        <v>7</v>
      </c>
      <c r="B47" s="51" t="s">
        <v>55</v>
      </c>
      <c r="C47" s="51"/>
      <c r="D47" s="278" t="s">
        <v>56</v>
      </c>
      <c r="E47" s="278"/>
      <c r="F47" s="28"/>
      <c r="G47" s="52">
        <v>1.4999999999999999E-2</v>
      </c>
      <c r="H47" s="28">
        <f t="shared" ref="H47:H53" si="0">SUM($H$38*G47)</f>
        <v>21.269699999999997</v>
      </c>
      <c r="I47" s="115"/>
    </row>
    <row r="48" spans="1:9" ht="15.75" x14ac:dyDescent="0.25">
      <c r="A48" s="1" t="s">
        <v>9</v>
      </c>
      <c r="B48" s="51" t="s">
        <v>57</v>
      </c>
      <c r="C48" s="51"/>
      <c r="D48" s="278"/>
      <c r="E48" s="278"/>
      <c r="F48" s="28"/>
      <c r="G48" s="52">
        <v>0.01</v>
      </c>
      <c r="H48" s="28">
        <f t="shared" si="0"/>
        <v>14.179799999999998</v>
      </c>
    </row>
    <row r="49" spans="1:13" ht="15.75" x14ac:dyDescent="0.25">
      <c r="A49" s="1" t="s">
        <v>17</v>
      </c>
      <c r="B49" s="51" t="s">
        <v>58</v>
      </c>
      <c r="C49" s="51"/>
      <c r="D49" s="27"/>
      <c r="E49" s="27"/>
      <c r="F49" s="28"/>
      <c r="G49" s="52">
        <v>2E-3</v>
      </c>
      <c r="H49" s="28">
        <f t="shared" si="0"/>
        <v>2.8359599999999996</v>
      </c>
    </row>
    <row r="50" spans="1:13" ht="15.75" x14ac:dyDescent="0.25">
      <c r="A50" s="1" t="s">
        <v>40</v>
      </c>
      <c r="B50" s="51" t="s">
        <v>59</v>
      </c>
      <c r="C50" s="51"/>
      <c r="D50" s="27"/>
      <c r="E50" s="27"/>
      <c r="F50" s="28"/>
      <c r="G50" s="52">
        <v>2.5000000000000001E-2</v>
      </c>
      <c r="H50" s="28">
        <f>SUM($H$38*G50)</f>
        <v>35.449499999999993</v>
      </c>
    </row>
    <row r="51" spans="1:13" ht="15.75" x14ac:dyDescent="0.25">
      <c r="A51" s="1" t="s">
        <v>42</v>
      </c>
      <c r="B51" s="51" t="s">
        <v>60</v>
      </c>
      <c r="C51" s="51"/>
      <c r="D51" s="27"/>
      <c r="E51" s="27"/>
      <c r="F51" s="28"/>
      <c r="G51" s="45">
        <v>0.08</v>
      </c>
      <c r="H51" s="28">
        <f t="shared" si="0"/>
        <v>113.43839999999999</v>
      </c>
    </row>
    <row r="52" spans="1:13" ht="15.75" x14ac:dyDescent="0.25">
      <c r="A52" s="1" t="s">
        <v>61</v>
      </c>
      <c r="B52" s="51" t="s">
        <v>62</v>
      </c>
      <c r="C52" s="51"/>
      <c r="D52" s="53"/>
      <c r="E52" s="53"/>
      <c r="F52" s="53"/>
      <c r="G52" s="52">
        <v>0.03</v>
      </c>
      <c r="H52" s="28">
        <f t="shared" si="0"/>
        <v>42.539399999999993</v>
      </c>
    </row>
    <row r="53" spans="1:13" ht="15.75" x14ac:dyDescent="0.25">
      <c r="A53" s="1" t="s">
        <v>43</v>
      </c>
      <c r="B53" s="51" t="s">
        <v>63</v>
      </c>
      <c r="C53" s="51"/>
      <c r="D53" s="27"/>
      <c r="E53" s="27"/>
      <c r="F53" s="28"/>
      <c r="G53" s="52">
        <v>6.0000000000000001E-3</v>
      </c>
      <c r="H53" s="28">
        <f t="shared" si="0"/>
        <v>8.5078799999999983</v>
      </c>
      <c r="I53" s="121">
        <f>H54+H43</f>
        <v>628.42377955199993</v>
      </c>
    </row>
    <row r="54" spans="1:13" ht="15.75" x14ac:dyDescent="0.25">
      <c r="A54" s="54"/>
      <c r="B54" s="55" t="s">
        <v>45</v>
      </c>
      <c r="C54" s="55"/>
      <c r="D54" s="40"/>
      <c r="E54" s="40"/>
      <c r="F54" s="56"/>
      <c r="G54" s="57">
        <f>SUM(G46:G53)</f>
        <v>0.3680000000000001</v>
      </c>
      <c r="H54" s="58">
        <f>SUM(H46:H53)</f>
        <v>521.81663999999989</v>
      </c>
    </row>
    <row r="55" spans="1:13" ht="15.75" x14ac:dyDescent="0.25">
      <c r="A55" s="110" t="s">
        <v>64</v>
      </c>
      <c r="B55" s="269" t="s">
        <v>65</v>
      </c>
      <c r="C55" s="269"/>
      <c r="D55" s="269"/>
      <c r="E55" s="269"/>
      <c r="F55" s="269"/>
      <c r="G55" s="269"/>
      <c r="H55" s="269"/>
    </row>
    <row r="56" spans="1:13" ht="15.75" x14ac:dyDescent="0.25">
      <c r="A56" s="6" t="s">
        <v>66</v>
      </c>
      <c r="B56" s="59"/>
      <c r="C56" s="59"/>
      <c r="D56" s="60" t="s">
        <v>67</v>
      </c>
      <c r="E56" s="60" t="s">
        <v>68</v>
      </c>
      <c r="F56" s="60" t="s">
        <v>69</v>
      </c>
      <c r="G56" s="60" t="s">
        <v>70</v>
      </c>
      <c r="H56" s="6"/>
    </row>
    <row r="57" spans="1:13" ht="15.75" x14ac:dyDescent="0.25">
      <c r="A57" s="270" t="s">
        <v>4</v>
      </c>
      <c r="B57" s="6" t="s">
        <v>71</v>
      </c>
      <c r="C57" s="6"/>
      <c r="D57" s="271">
        <v>26</v>
      </c>
      <c r="E57" s="272">
        <v>2</v>
      </c>
      <c r="F57" s="273">
        <v>3.3</v>
      </c>
      <c r="G57" s="274">
        <v>0.06</v>
      </c>
      <c r="H57" s="35">
        <f>F57*E57*D57</f>
        <v>171.6</v>
      </c>
    </row>
    <row r="58" spans="1:13" ht="15.75" x14ac:dyDescent="0.25">
      <c r="A58" s="270"/>
      <c r="B58" s="6" t="s">
        <v>72</v>
      </c>
      <c r="C58" s="6"/>
      <c r="D58" s="271"/>
      <c r="E58" s="271"/>
      <c r="F58" s="271"/>
      <c r="G58" s="271"/>
      <c r="H58" s="35">
        <f>H27*G57</f>
        <v>77.9268</v>
      </c>
    </row>
    <row r="59" spans="1:13" ht="15.75" x14ac:dyDescent="0.25">
      <c r="A59" s="270"/>
      <c r="B59" s="8" t="s">
        <v>73</v>
      </c>
      <c r="C59" s="8"/>
      <c r="D59" s="8"/>
      <c r="E59" s="27"/>
      <c r="F59" s="27"/>
      <c r="G59" s="61"/>
      <c r="H59" s="35">
        <f>H57-H58</f>
        <v>93.673199999999994</v>
      </c>
    </row>
    <row r="60" spans="1:13" ht="15.75" x14ac:dyDescent="0.25">
      <c r="A60" s="270" t="s">
        <v>7</v>
      </c>
      <c r="B60" s="6" t="s">
        <v>74</v>
      </c>
      <c r="C60" s="6"/>
      <c r="D60" s="271">
        <v>1</v>
      </c>
      <c r="E60" s="272">
        <v>1</v>
      </c>
      <c r="F60" s="273">
        <v>244.43</v>
      </c>
      <c r="G60" s="274">
        <v>0.2</v>
      </c>
      <c r="H60" s="35">
        <f>F60*E60*D60</f>
        <v>244.43</v>
      </c>
    </row>
    <row r="61" spans="1:13" ht="15.75" x14ac:dyDescent="0.25">
      <c r="A61" s="270"/>
      <c r="B61" s="6" t="s">
        <v>72</v>
      </c>
      <c r="C61" s="6"/>
      <c r="D61" s="271"/>
      <c r="E61" s="271"/>
      <c r="F61" s="271"/>
      <c r="G61" s="271"/>
      <c r="H61" s="35">
        <f>H60*G60</f>
        <v>48.886000000000003</v>
      </c>
    </row>
    <row r="62" spans="1:13" ht="15.75" x14ac:dyDescent="0.25">
      <c r="A62" s="270"/>
      <c r="B62" s="275" t="s">
        <v>75</v>
      </c>
      <c r="C62" s="275"/>
      <c r="D62" s="275"/>
      <c r="E62" s="275"/>
      <c r="F62" s="13"/>
      <c r="G62" s="13"/>
      <c r="H62" s="35">
        <f>H60-H61</f>
        <v>195.54400000000001</v>
      </c>
    </row>
    <row r="63" spans="1:13" ht="15.75" x14ac:dyDescent="0.25">
      <c r="A63" s="62" t="s">
        <v>9</v>
      </c>
      <c r="B63" s="275" t="s">
        <v>76</v>
      </c>
      <c r="C63" s="275"/>
      <c r="D63" s="275"/>
      <c r="E63" s="275"/>
      <c r="F63" s="13"/>
      <c r="G63" s="13"/>
      <c r="H63" s="35">
        <v>0</v>
      </c>
    </row>
    <row r="64" spans="1:13" ht="15.75" x14ac:dyDescent="0.25">
      <c r="A64" s="62" t="s">
        <v>17</v>
      </c>
      <c r="B64" s="117" t="s">
        <v>77</v>
      </c>
      <c r="C64" s="117"/>
      <c r="D64" s="117"/>
      <c r="E64" s="117" t="s">
        <v>163</v>
      </c>
      <c r="F64" s="13"/>
      <c r="G64" s="13"/>
      <c r="H64" s="35">
        <v>0</v>
      </c>
      <c r="J64" s="111"/>
      <c r="K64" s="13"/>
      <c r="L64" s="13"/>
      <c r="M64" s="35">
        <v>0</v>
      </c>
    </row>
    <row r="65" spans="1:9" ht="15.75" x14ac:dyDescent="0.25">
      <c r="A65" s="62" t="s">
        <v>40</v>
      </c>
      <c r="B65" s="116" t="s">
        <v>78</v>
      </c>
      <c r="C65" s="116"/>
      <c r="D65" s="116"/>
      <c r="E65" s="118">
        <v>3.8059999999999998E-4</v>
      </c>
      <c r="H65" s="35">
        <f>(1/12*(H27+H28+H30))*E65</f>
        <v>4.1192972333333328E-2</v>
      </c>
    </row>
    <row r="66" spans="1:9" ht="15.75" x14ac:dyDescent="0.25">
      <c r="A66" s="63"/>
      <c r="B66" s="276" t="s">
        <v>45</v>
      </c>
      <c r="C66" s="276"/>
      <c r="D66" s="276"/>
      <c r="E66" s="276"/>
      <c r="F66" s="64"/>
      <c r="G66" s="64"/>
      <c r="H66" s="65">
        <f>H59+H62+H63+H64+M64+H65</f>
        <v>289.2583929723333</v>
      </c>
    </row>
    <row r="67" spans="1:9" ht="15.75" x14ac:dyDescent="0.25">
      <c r="A67" s="269" t="s">
        <v>79</v>
      </c>
      <c r="B67" s="269"/>
      <c r="C67" s="269"/>
      <c r="D67" s="269"/>
      <c r="E67" s="269"/>
      <c r="F67" s="269"/>
      <c r="G67" s="269"/>
      <c r="H67" s="269"/>
    </row>
    <row r="68" spans="1:9" ht="15.75" x14ac:dyDescent="0.25">
      <c r="A68" s="62" t="s">
        <v>47</v>
      </c>
      <c r="B68" s="8" t="s">
        <v>80</v>
      </c>
      <c r="C68" s="8"/>
      <c r="D68" s="66"/>
      <c r="E68" s="66"/>
      <c r="F68" s="13"/>
      <c r="G68" s="13"/>
      <c r="H68" s="67">
        <f>H44</f>
        <v>396.30045355200002</v>
      </c>
    </row>
    <row r="69" spans="1:9" ht="15.75" x14ac:dyDescent="0.25">
      <c r="A69" s="62" t="s">
        <v>52</v>
      </c>
      <c r="B69" s="8" t="s">
        <v>81</v>
      </c>
      <c r="C69" s="8"/>
      <c r="D69" s="66"/>
      <c r="E69" s="66"/>
      <c r="F69" s="13"/>
      <c r="G69" s="13"/>
      <c r="H69" s="67">
        <f>H54</f>
        <v>521.81663999999989</v>
      </c>
    </row>
    <row r="70" spans="1:9" ht="15.75" x14ac:dyDescent="0.25">
      <c r="A70" s="62" t="s">
        <v>64</v>
      </c>
      <c r="B70" s="8" t="s">
        <v>82</v>
      </c>
      <c r="C70" s="8"/>
      <c r="D70" s="66"/>
      <c r="E70" s="66"/>
      <c r="F70" s="13"/>
      <c r="G70" s="13"/>
      <c r="H70" s="67">
        <f>H66</f>
        <v>289.2583929723333</v>
      </c>
    </row>
    <row r="71" spans="1:9" ht="15.75" x14ac:dyDescent="0.25">
      <c r="A71" s="63"/>
      <c r="B71" s="112" t="s">
        <v>45</v>
      </c>
      <c r="C71" s="112"/>
      <c r="D71" s="112"/>
      <c r="E71" s="112"/>
      <c r="F71" s="64"/>
      <c r="G71" s="64"/>
      <c r="H71" s="65">
        <f>SUM(H68:H70)</f>
        <v>1207.3754865243332</v>
      </c>
    </row>
    <row r="72" spans="1:9" ht="15.75" x14ac:dyDescent="0.25">
      <c r="A72" s="68">
        <v>3</v>
      </c>
      <c r="B72" s="267" t="s">
        <v>83</v>
      </c>
      <c r="C72" s="267"/>
      <c r="D72" s="267"/>
      <c r="E72" s="267"/>
      <c r="F72" s="267"/>
      <c r="G72" s="267"/>
      <c r="H72" s="267"/>
    </row>
    <row r="73" spans="1:9" ht="15.75" x14ac:dyDescent="0.25">
      <c r="A73" s="1" t="s">
        <v>4</v>
      </c>
      <c r="B73" s="48" t="s">
        <v>84</v>
      </c>
      <c r="C73" s="48"/>
      <c r="D73" s="69"/>
      <c r="E73" s="69"/>
      <c r="F73" s="69"/>
      <c r="G73" s="45">
        <v>4.1999999999999997E-3</v>
      </c>
      <c r="H73" s="28">
        <f>SUM($H$38*G73)</f>
        <v>5.9555159999999985</v>
      </c>
      <c r="I73" s="115"/>
    </row>
    <row r="74" spans="1:9" ht="15.75" x14ac:dyDescent="0.25">
      <c r="A74" s="1" t="s">
        <v>7</v>
      </c>
      <c r="B74" s="48" t="s">
        <v>85</v>
      </c>
      <c r="C74" s="48"/>
      <c r="D74" s="27"/>
      <c r="E74" s="27"/>
      <c r="F74" s="28"/>
      <c r="G74" s="45">
        <f>G73*0.08</f>
        <v>3.3599999999999998E-4</v>
      </c>
      <c r="H74" s="28">
        <f>SUM($H$38*G74)</f>
        <v>0.47644127999999991</v>
      </c>
    </row>
    <row r="75" spans="1:9" ht="15.75" x14ac:dyDescent="0.25">
      <c r="A75" s="1" t="s">
        <v>9</v>
      </c>
      <c r="B75" s="48" t="s">
        <v>86</v>
      </c>
      <c r="C75" s="48"/>
      <c r="D75" s="70"/>
      <c r="E75" s="70"/>
      <c r="F75" s="70"/>
      <c r="G75" s="71">
        <v>2.5000000000000001E-2</v>
      </c>
      <c r="H75" s="72">
        <f>(ROUND(SUM($H$38*G75),2))</f>
        <v>35.450000000000003</v>
      </c>
    </row>
    <row r="76" spans="1:9" ht="15.75" x14ac:dyDescent="0.25">
      <c r="A76" s="1" t="s">
        <v>17</v>
      </c>
      <c r="B76" s="27" t="s">
        <v>87</v>
      </c>
      <c r="C76" s="27"/>
      <c r="D76" s="69"/>
      <c r="E76" s="69"/>
      <c r="F76" s="69"/>
      <c r="G76" s="45">
        <v>1.9400000000000001E-2</v>
      </c>
      <c r="H76" s="28">
        <f>SUM($H$38*G76)</f>
        <v>27.508811999999995</v>
      </c>
      <c r="I76" s="115"/>
    </row>
    <row r="77" spans="1:9" ht="15.75" x14ac:dyDescent="0.25">
      <c r="A77" s="1" t="s">
        <v>40</v>
      </c>
      <c r="B77" s="48" t="s">
        <v>88</v>
      </c>
      <c r="C77" s="48"/>
      <c r="D77" s="27"/>
      <c r="E77" s="27"/>
      <c r="F77" s="28"/>
      <c r="G77" s="45">
        <f>G76*G54</f>
        <v>7.1392000000000027E-3</v>
      </c>
      <c r="H77" s="28">
        <f>SUM($H$38*G77)</f>
        <v>10.123242816000003</v>
      </c>
    </row>
    <row r="78" spans="1:9" ht="15.75" x14ac:dyDescent="0.25">
      <c r="A78" s="1" t="s">
        <v>42</v>
      </c>
      <c r="B78" s="27" t="s">
        <v>89</v>
      </c>
      <c r="C78" s="27"/>
      <c r="D78" s="70"/>
      <c r="E78" s="70"/>
      <c r="F78" s="70"/>
      <c r="G78" s="52">
        <v>2.5000000000000001E-2</v>
      </c>
      <c r="H78" s="28">
        <f>SUM($H$38*G78)</f>
        <v>35.449499999999993</v>
      </c>
    </row>
    <row r="79" spans="1:9" ht="15.75" x14ac:dyDescent="0.25">
      <c r="A79" s="73"/>
      <c r="B79" s="55" t="s">
        <v>45</v>
      </c>
      <c r="C79" s="55"/>
      <c r="D79" s="41"/>
      <c r="E79" s="41"/>
      <c r="F79" s="74"/>
      <c r="G79" s="57">
        <f>SUM(G73:G78)</f>
        <v>8.1075200000000014E-2</v>
      </c>
      <c r="H79" s="58">
        <f>SUM(H73:H78)</f>
        <v>114.96351209599999</v>
      </c>
    </row>
    <row r="80" spans="1:9" ht="15.75" x14ac:dyDescent="0.25">
      <c r="A80" s="44">
        <v>4</v>
      </c>
      <c r="B80" s="277" t="s">
        <v>90</v>
      </c>
      <c r="C80" s="277"/>
      <c r="D80" s="277"/>
      <c r="E80" s="277"/>
      <c r="F80" s="277"/>
      <c r="G80" s="277"/>
      <c r="H80" s="277"/>
    </row>
    <row r="81" spans="1:9" ht="15.75" x14ac:dyDescent="0.25">
      <c r="A81" s="75" t="s">
        <v>91</v>
      </c>
      <c r="B81" s="269" t="s">
        <v>92</v>
      </c>
      <c r="C81" s="269"/>
      <c r="D81" s="269"/>
      <c r="E81" s="269"/>
      <c r="F81" s="269"/>
      <c r="G81" s="269"/>
      <c r="H81" s="269"/>
    </row>
    <row r="82" spans="1:9" ht="15.75" x14ac:dyDescent="0.25">
      <c r="A82" s="12" t="s">
        <v>4</v>
      </c>
      <c r="B82" s="51" t="s">
        <v>93</v>
      </c>
      <c r="C82" s="51"/>
      <c r="D82" s="53"/>
      <c r="E82" s="53"/>
      <c r="F82" s="53"/>
      <c r="G82" s="45">
        <f>(G41+G42)/12</f>
        <v>1.7024999999999998E-2</v>
      </c>
      <c r="H82" s="28"/>
    </row>
    <row r="83" spans="1:9" ht="15.75" x14ac:dyDescent="0.25">
      <c r="A83" s="114" t="s">
        <v>7</v>
      </c>
      <c r="B83" s="51" t="s">
        <v>94</v>
      </c>
      <c r="C83" s="268" t="s">
        <v>95</v>
      </c>
      <c r="D83" s="76">
        <v>1</v>
      </c>
      <c r="E83" s="268" t="s">
        <v>96</v>
      </c>
      <c r="F83" s="77">
        <v>1</v>
      </c>
      <c r="G83" s="45">
        <f t="shared" ref="G83:G88" si="1">D83/360*F83</f>
        <v>2.7777777777777779E-3</v>
      </c>
      <c r="H83" s="28">
        <f t="shared" ref="H83:H87" si="2">SUM(H$38*G83)</f>
        <v>3.9388333333333327</v>
      </c>
    </row>
    <row r="84" spans="1:9" ht="15.75" x14ac:dyDescent="0.25">
      <c r="A84" s="12" t="s">
        <v>9</v>
      </c>
      <c r="B84" s="51" t="s">
        <v>97</v>
      </c>
      <c r="C84" s="268"/>
      <c r="D84" s="76">
        <v>5</v>
      </c>
      <c r="E84" s="268"/>
      <c r="F84" s="77">
        <v>1.4999999999999999E-2</v>
      </c>
      <c r="G84" s="45">
        <f t="shared" si="1"/>
        <v>2.0833333333333332E-4</v>
      </c>
      <c r="H84" s="28">
        <f t="shared" si="2"/>
        <v>0.29541249999999991</v>
      </c>
    </row>
    <row r="85" spans="1:9" ht="15.75" x14ac:dyDescent="0.25">
      <c r="A85" s="12" t="s">
        <v>17</v>
      </c>
      <c r="B85" s="51" t="s">
        <v>98</v>
      </c>
      <c r="C85" s="268"/>
      <c r="D85" s="76">
        <v>15</v>
      </c>
      <c r="E85" s="268"/>
      <c r="F85" s="78">
        <v>1.3299999999999999E-2</v>
      </c>
      <c r="G85" s="45">
        <f t="shared" si="1"/>
        <v>5.5416666666666657E-4</v>
      </c>
      <c r="H85" s="28">
        <f t="shared" si="2"/>
        <v>0.78579724999999978</v>
      </c>
    </row>
    <row r="86" spans="1:9" ht="15.75" x14ac:dyDescent="0.25">
      <c r="A86" s="12" t="s">
        <v>40</v>
      </c>
      <c r="B86" s="51" t="s">
        <v>99</v>
      </c>
      <c r="C86" s="268"/>
      <c r="D86" s="76">
        <v>120</v>
      </c>
      <c r="E86" s="268"/>
      <c r="F86" s="77">
        <v>1.8599999999999998E-2</v>
      </c>
      <c r="G86" s="45">
        <f t="shared" si="1"/>
        <v>6.1999999999999989E-3</v>
      </c>
      <c r="H86" s="28">
        <f t="shared" si="2"/>
        <v>8.7914759999999976</v>
      </c>
    </row>
    <row r="87" spans="1:9" ht="15.75" x14ac:dyDescent="0.25">
      <c r="A87" s="12" t="s">
        <v>42</v>
      </c>
      <c r="B87" s="51" t="s">
        <v>100</v>
      </c>
      <c r="C87" s="268"/>
      <c r="D87" s="79">
        <v>5.96</v>
      </c>
      <c r="E87" s="268"/>
      <c r="F87" s="80">
        <v>1</v>
      </c>
      <c r="G87" s="45">
        <f t="shared" si="1"/>
        <v>1.6555555555555556E-2</v>
      </c>
      <c r="H87" s="81">
        <f t="shared" si="2"/>
        <v>23.475446666666663</v>
      </c>
    </row>
    <row r="88" spans="1:9" ht="15.75" x14ac:dyDescent="0.25">
      <c r="A88" s="12" t="s">
        <v>61</v>
      </c>
      <c r="B88" s="51" t="s">
        <v>101</v>
      </c>
      <c r="C88" s="268"/>
      <c r="D88" s="79"/>
      <c r="E88" s="268"/>
      <c r="F88" s="82"/>
      <c r="G88" s="45">
        <f t="shared" si="1"/>
        <v>0</v>
      </c>
      <c r="H88" s="81"/>
    </row>
    <row r="89" spans="1:9" ht="15.75" x14ac:dyDescent="0.25">
      <c r="A89" s="19"/>
      <c r="B89" s="6" t="s">
        <v>102</v>
      </c>
      <c r="C89" s="6"/>
      <c r="D89" s="27"/>
      <c r="E89" s="27"/>
      <c r="F89" s="28"/>
      <c r="G89" s="45">
        <f>SUM(G82:G88)</f>
        <v>4.3320833333333336E-2</v>
      </c>
      <c r="H89" s="28">
        <f>SUM(H82:H88)</f>
        <v>37.286965749999993</v>
      </c>
      <c r="I89" s="115">
        <f>SUM(H83:H89)*G54</f>
        <v>27.443206792000002</v>
      </c>
    </row>
    <row r="90" spans="1:9" ht="15.75" x14ac:dyDescent="0.25">
      <c r="A90" s="12" t="s">
        <v>42</v>
      </c>
      <c r="B90" s="51" t="s">
        <v>103</v>
      </c>
      <c r="C90" s="51"/>
      <c r="D90" s="27"/>
      <c r="E90" s="27"/>
      <c r="F90" s="28"/>
      <c r="G90" s="45">
        <f>G89*G54</f>
        <v>1.5942066666666671E-2</v>
      </c>
      <c r="H90" s="28">
        <f>SUM(H89*G54)</f>
        <v>13.721603396000001</v>
      </c>
    </row>
    <row r="91" spans="1:9" ht="15.75" x14ac:dyDescent="0.25">
      <c r="A91" s="73"/>
      <c r="B91" s="55" t="s">
        <v>45</v>
      </c>
      <c r="C91" s="55"/>
      <c r="D91" s="41"/>
      <c r="E91" s="41"/>
      <c r="F91" s="74"/>
      <c r="G91" s="57">
        <f>G90+G89</f>
        <v>5.9262900000000007E-2</v>
      </c>
      <c r="H91" s="58">
        <f>SUM(H89:H90)</f>
        <v>51.008569145999992</v>
      </c>
    </row>
    <row r="92" spans="1:9" ht="15.75" x14ac:dyDescent="0.25">
      <c r="A92" s="75" t="s">
        <v>104</v>
      </c>
      <c r="B92" s="269" t="s">
        <v>105</v>
      </c>
      <c r="C92" s="269"/>
      <c r="D92" s="269"/>
      <c r="E92" s="269"/>
      <c r="F92" s="269"/>
      <c r="G92" s="269"/>
      <c r="H92" s="269"/>
    </row>
    <row r="93" spans="1:9" ht="15.75" x14ac:dyDescent="0.25">
      <c r="A93" s="12" t="s">
        <v>4</v>
      </c>
      <c r="B93" s="51" t="s">
        <v>106</v>
      </c>
      <c r="C93" s="51"/>
      <c r="D93" s="53"/>
      <c r="E93" s="53"/>
      <c r="F93" s="53"/>
      <c r="G93" s="52">
        <v>0</v>
      </c>
      <c r="H93" s="28">
        <f>SUM(H$38*G93)</f>
        <v>0</v>
      </c>
    </row>
    <row r="94" spans="1:9" ht="15.75" x14ac:dyDescent="0.25">
      <c r="A94" s="12" t="s">
        <v>7</v>
      </c>
      <c r="B94" s="51" t="s">
        <v>107</v>
      </c>
      <c r="C94" s="51"/>
      <c r="D94" s="53"/>
      <c r="E94" s="53"/>
      <c r="F94" s="53"/>
      <c r="G94" s="45">
        <f>G93*G54</f>
        <v>0</v>
      </c>
      <c r="H94" s="28">
        <f>SUM($H$38*G94)</f>
        <v>0</v>
      </c>
    </row>
    <row r="95" spans="1:9" ht="15.75" x14ac:dyDescent="0.25">
      <c r="A95" s="73"/>
      <c r="B95" s="55" t="s">
        <v>45</v>
      </c>
      <c r="C95" s="55"/>
      <c r="D95" s="41"/>
      <c r="E95" s="41"/>
      <c r="F95" s="74"/>
      <c r="G95" s="57">
        <f>G94+G93</f>
        <v>0</v>
      </c>
      <c r="H95" s="58">
        <f>SUM(H93:H94)</f>
        <v>0</v>
      </c>
    </row>
    <row r="96" spans="1:9" ht="15.75" x14ac:dyDescent="0.25">
      <c r="A96" s="269" t="s">
        <v>108</v>
      </c>
      <c r="B96" s="269"/>
      <c r="C96" s="269"/>
      <c r="D96" s="269"/>
      <c r="E96" s="269"/>
      <c r="F96" s="269"/>
      <c r="G96" s="269"/>
      <c r="H96" s="269"/>
    </row>
    <row r="97" spans="1:10" ht="15.75" x14ac:dyDescent="0.25">
      <c r="A97" s="12" t="s">
        <v>91</v>
      </c>
      <c r="B97" s="51" t="s">
        <v>94</v>
      </c>
      <c r="C97" s="51"/>
      <c r="D97" s="53"/>
      <c r="E97" s="53"/>
      <c r="F97" s="53"/>
      <c r="G97" s="45">
        <f>G91</f>
        <v>5.9262900000000007E-2</v>
      </c>
      <c r="H97" s="28">
        <f>H91</f>
        <v>51.008569145999992</v>
      </c>
    </row>
    <row r="98" spans="1:10" ht="15.75" x14ac:dyDescent="0.25">
      <c r="A98" s="12" t="s">
        <v>104</v>
      </c>
      <c r="B98" s="51" t="s">
        <v>109</v>
      </c>
      <c r="C98" s="51"/>
      <c r="D98" s="53"/>
      <c r="E98" s="53"/>
      <c r="F98" s="53"/>
      <c r="G98" s="45">
        <f>G95</f>
        <v>0</v>
      </c>
      <c r="H98" s="28">
        <f>H95</f>
        <v>0</v>
      </c>
    </row>
    <row r="99" spans="1:10" ht="15.75" x14ac:dyDescent="0.25">
      <c r="A99" s="73"/>
      <c r="B99" s="55" t="s">
        <v>45</v>
      </c>
      <c r="C99" s="55"/>
      <c r="D99" s="41"/>
      <c r="E99" s="41"/>
      <c r="F99" s="74"/>
      <c r="G99" s="57">
        <f>G95+G91</f>
        <v>5.9262900000000007E-2</v>
      </c>
      <c r="H99" s="58">
        <f>SUM(H97:H98)</f>
        <v>51.008569145999992</v>
      </c>
    </row>
    <row r="100" spans="1:10" ht="15.75" x14ac:dyDescent="0.25">
      <c r="A100" s="83">
        <v>5</v>
      </c>
      <c r="B100" s="269" t="s">
        <v>110</v>
      </c>
      <c r="C100" s="269"/>
      <c r="D100" s="269"/>
      <c r="E100" s="269"/>
      <c r="F100" s="269"/>
      <c r="G100" s="269"/>
      <c r="H100" s="269"/>
    </row>
    <row r="101" spans="1:10" ht="15.75" x14ac:dyDescent="0.25">
      <c r="A101" s="12" t="s">
        <v>4</v>
      </c>
      <c r="B101" s="13" t="s">
        <v>111</v>
      </c>
      <c r="C101" s="13"/>
      <c r="D101" s="84"/>
      <c r="E101" s="27"/>
      <c r="F101" s="85"/>
      <c r="G101" s="85"/>
      <c r="H101" s="85"/>
    </row>
    <row r="102" spans="1:10" ht="15.75" x14ac:dyDescent="0.25">
      <c r="A102" s="12" t="s">
        <v>7</v>
      </c>
      <c r="B102" s="13" t="s">
        <v>112</v>
      </c>
      <c r="C102" s="13"/>
      <c r="D102" s="84"/>
      <c r="E102" s="27"/>
      <c r="F102" s="85"/>
      <c r="G102" s="85"/>
      <c r="H102" s="85"/>
    </row>
    <row r="103" spans="1:10" ht="15.75" x14ac:dyDescent="0.25">
      <c r="A103" s="12" t="s">
        <v>9</v>
      </c>
      <c r="B103" s="13" t="s">
        <v>113</v>
      </c>
      <c r="C103" s="13"/>
      <c r="D103" s="84"/>
      <c r="E103" s="27"/>
      <c r="F103" s="85"/>
      <c r="G103" s="85"/>
      <c r="H103" s="85"/>
    </row>
    <row r="104" spans="1:10" ht="15.75" x14ac:dyDescent="0.25">
      <c r="A104" s="12" t="s">
        <v>17</v>
      </c>
      <c r="B104" s="13" t="s">
        <v>164</v>
      </c>
      <c r="C104" s="13"/>
      <c r="D104" s="84"/>
      <c r="E104" s="27"/>
      <c r="F104" s="85"/>
      <c r="G104" s="85"/>
      <c r="H104" s="85"/>
    </row>
    <row r="105" spans="1:10" ht="15.75" x14ac:dyDescent="0.25">
      <c r="A105" s="12" t="s">
        <v>40</v>
      </c>
      <c r="B105" s="13" t="s">
        <v>101</v>
      </c>
      <c r="C105" s="13"/>
      <c r="D105" s="84"/>
      <c r="E105" s="27"/>
      <c r="F105" s="85"/>
      <c r="G105" s="85"/>
      <c r="H105" s="85"/>
    </row>
    <row r="106" spans="1:10" ht="15.75" x14ac:dyDescent="0.25">
      <c r="A106" s="73"/>
      <c r="B106" s="55" t="s">
        <v>45</v>
      </c>
      <c r="C106" s="55"/>
      <c r="D106" s="41"/>
      <c r="E106" s="41"/>
      <c r="F106" s="74"/>
      <c r="G106" s="57"/>
      <c r="H106" s="58">
        <f>SUM(H101:H105)</f>
        <v>0</v>
      </c>
    </row>
    <row r="107" spans="1:10" ht="15.75" x14ac:dyDescent="0.25">
      <c r="A107" s="83">
        <v>6</v>
      </c>
      <c r="B107" s="269" t="s">
        <v>114</v>
      </c>
      <c r="C107" s="269"/>
      <c r="D107" s="269"/>
      <c r="E107" s="269"/>
      <c r="F107" s="269"/>
      <c r="G107" s="269"/>
      <c r="H107" s="269"/>
    </row>
    <row r="108" spans="1:10" ht="15.75" x14ac:dyDescent="0.25">
      <c r="A108" s="86" t="s">
        <v>4</v>
      </c>
      <c r="B108" s="27"/>
      <c r="C108" s="27"/>
      <c r="D108" s="27"/>
      <c r="E108" s="27"/>
      <c r="F108" s="27" t="s">
        <v>115</v>
      </c>
      <c r="G108" s="52">
        <v>0.06</v>
      </c>
      <c r="H108" s="28">
        <f>G108*H123</f>
        <v>167.47965406597999</v>
      </c>
    </row>
    <row r="109" spans="1:10" ht="15.75" x14ac:dyDescent="0.25">
      <c r="A109" s="86" t="s">
        <v>7</v>
      </c>
      <c r="B109" s="27"/>
      <c r="C109" s="27"/>
      <c r="D109" s="27"/>
      <c r="E109" s="27"/>
      <c r="F109" s="12" t="s">
        <v>116</v>
      </c>
      <c r="G109" s="52">
        <v>6.7900000000000002E-2</v>
      </c>
      <c r="H109" s="28">
        <f>SUM(H108+H123)*$G$109</f>
        <v>200.90301036241408</v>
      </c>
    </row>
    <row r="110" spans="1:10" ht="15.75" x14ac:dyDescent="0.25">
      <c r="A110" s="86" t="s">
        <v>9</v>
      </c>
      <c r="B110" s="27"/>
      <c r="C110" s="27"/>
      <c r="D110" s="27"/>
      <c r="E110" s="27"/>
      <c r="F110" s="12" t="s">
        <v>117</v>
      </c>
      <c r="G110" s="87">
        <f>SUM(G111:G115)</f>
        <v>8.6499999999999994E-2</v>
      </c>
      <c r="H110" s="28"/>
    </row>
    <row r="111" spans="1:10" ht="15.75" x14ac:dyDescent="0.25">
      <c r="A111" s="86" t="s">
        <v>118</v>
      </c>
      <c r="B111" s="27"/>
      <c r="C111" s="27"/>
      <c r="D111" s="27"/>
      <c r="E111" s="27"/>
      <c r="F111" s="88" t="s">
        <v>119</v>
      </c>
      <c r="G111" s="45">
        <v>0</v>
      </c>
      <c r="H111" s="28">
        <f>SUM(H$125*$G$111)</f>
        <v>0</v>
      </c>
      <c r="J111" s="120"/>
    </row>
    <row r="112" spans="1:10" ht="15.75" x14ac:dyDescent="0.25">
      <c r="A112" s="86" t="s">
        <v>120</v>
      </c>
      <c r="B112" s="27"/>
      <c r="C112" s="27"/>
      <c r="D112" s="27"/>
      <c r="E112" s="27"/>
      <c r="F112" s="88" t="s">
        <v>121</v>
      </c>
      <c r="G112" s="52">
        <v>6.4999999999999997E-3</v>
      </c>
      <c r="H112" s="28">
        <f>SUM(H$125/0.9135)*$G$112</f>
        <v>22.482886162305117</v>
      </c>
    </row>
    <row r="113" spans="1:8" ht="15.75" x14ac:dyDescent="0.25">
      <c r="A113" s="86" t="s">
        <v>122</v>
      </c>
      <c r="B113" s="27"/>
      <c r="C113" s="27"/>
      <c r="D113" s="27"/>
      <c r="E113" s="27"/>
      <c r="F113" s="88" t="s">
        <v>123</v>
      </c>
      <c r="G113" s="52">
        <v>0.03</v>
      </c>
      <c r="H113" s="28">
        <f>SUM(H$125/0.9135)*$G$113</f>
        <v>103.7671669029467</v>
      </c>
    </row>
    <row r="114" spans="1:8" ht="15.75" x14ac:dyDescent="0.25">
      <c r="A114" s="86" t="s">
        <v>124</v>
      </c>
      <c r="B114" s="27"/>
      <c r="C114" s="27"/>
      <c r="D114" s="27"/>
      <c r="E114" s="27"/>
      <c r="F114" s="88" t="s">
        <v>125</v>
      </c>
      <c r="G114" s="45">
        <v>0</v>
      </c>
      <c r="H114" s="28">
        <f>SUM(H$125/0.9135)*$G$114</f>
        <v>0</v>
      </c>
    </row>
    <row r="115" spans="1:8" ht="15.75" x14ac:dyDescent="0.25">
      <c r="A115" s="86" t="s">
        <v>126</v>
      </c>
      <c r="B115" s="27"/>
      <c r="C115" s="27"/>
      <c r="D115" s="27"/>
      <c r="E115" s="27"/>
      <c r="F115" s="88" t="s">
        <v>127</v>
      </c>
      <c r="G115" s="45">
        <v>0.05</v>
      </c>
      <c r="H115" s="28">
        <f>SUM(H$125/0.9135)*$G$115</f>
        <v>172.94527817157785</v>
      </c>
    </row>
    <row r="116" spans="1:8" ht="15.75" x14ac:dyDescent="0.25">
      <c r="A116" s="73"/>
      <c r="B116" s="55" t="s">
        <v>45</v>
      </c>
      <c r="C116" s="55"/>
      <c r="D116" s="41"/>
      <c r="E116" s="41"/>
      <c r="F116" s="74"/>
      <c r="G116" s="57">
        <f>G110+G109+G108</f>
        <v>0.21439999999999998</v>
      </c>
      <c r="H116" s="58">
        <f>SUM(H108:H115)</f>
        <v>667.57799566522374</v>
      </c>
    </row>
    <row r="117" spans="1:8" ht="15.75" x14ac:dyDescent="0.25">
      <c r="A117" s="89"/>
      <c r="B117" s="267" t="s">
        <v>128</v>
      </c>
      <c r="C117" s="267"/>
      <c r="D117" s="267"/>
      <c r="E117" s="267"/>
      <c r="F117" s="267"/>
      <c r="G117" s="267"/>
      <c r="H117" s="267"/>
    </row>
    <row r="118" spans="1:8" ht="15.75" x14ac:dyDescent="0.25">
      <c r="A118" s="90" t="s">
        <v>4</v>
      </c>
      <c r="B118" s="27" t="s">
        <v>30</v>
      </c>
      <c r="C118" s="27"/>
      <c r="D118" s="27"/>
      <c r="E118" s="27"/>
      <c r="F118" s="28"/>
      <c r="G118" s="45">
        <f>SUM(H118/H$125)</f>
        <v>0.44876899962281486</v>
      </c>
      <c r="H118" s="28">
        <f>SUM(H38)</f>
        <v>1417.9799999999998</v>
      </c>
    </row>
    <row r="119" spans="1:8" ht="15.75" x14ac:dyDescent="0.25">
      <c r="A119" s="90" t="s">
        <v>7</v>
      </c>
      <c r="B119" s="27" t="s">
        <v>129</v>
      </c>
      <c r="C119" s="27"/>
      <c r="D119" s="27"/>
      <c r="E119" s="27"/>
      <c r="F119" s="28"/>
      <c r="G119" s="45">
        <f>SUM(H119/H$125)</f>
        <v>0.38211588968577442</v>
      </c>
      <c r="H119" s="28">
        <f>H71</f>
        <v>1207.3754865243332</v>
      </c>
    </row>
    <row r="120" spans="1:8" ht="15.75" x14ac:dyDescent="0.25">
      <c r="A120" s="90" t="s">
        <v>9</v>
      </c>
      <c r="B120" s="27" t="s">
        <v>130</v>
      </c>
      <c r="C120" s="27"/>
      <c r="D120" s="27"/>
      <c r="E120" s="27"/>
      <c r="F120" s="28"/>
      <c r="G120" s="45">
        <f>SUM(H120/H$125)</f>
        <v>3.6384194640578356E-2</v>
      </c>
      <c r="H120" s="28">
        <f>H79</f>
        <v>114.96351209599999</v>
      </c>
    </row>
    <row r="121" spans="1:8" ht="15.75" x14ac:dyDescent="0.25">
      <c r="A121" s="90" t="s">
        <v>17</v>
      </c>
      <c r="B121" s="27" t="s">
        <v>131</v>
      </c>
      <c r="C121" s="27"/>
      <c r="D121" s="27"/>
      <c r="E121" s="27"/>
      <c r="F121" s="28"/>
      <c r="G121" s="45">
        <f>SUM(H121/H$125)</f>
        <v>1.614343259273163E-2</v>
      </c>
      <c r="H121" s="28">
        <f>H99</f>
        <v>51.008569145999992</v>
      </c>
    </row>
    <row r="122" spans="1:8" ht="15.75" x14ac:dyDescent="0.25">
      <c r="A122" s="90" t="s">
        <v>40</v>
      </c>
      <c r="B122" s="27" t="s">
        <v>110</v>
      </c>
      <c r="C122" s="27"/>
      <c r="D122" s="27"/>
      <c r="E122" s="27"/>
      <c r="F122" s="28"/>
      <c r="G122" s="45">
        <f>H122/H125</f>
        <v>0</v>
      </c>
      <c r="H122" s="28">
        <f>H106</f>
        <v>0</v>
      </c>
    </row>
    <row r="123" spans="1:8" ht="15.75" x14ac:dyDescent="0.25">
      <c r="A123" s="90"/>
      <c r="B123" s="27" t="s">
        <v>132</v>
      </c>
      <c r="C123" s="27"/>
      <c r="D123" s="27"/>
      <c r="E123" s="27"/>
      <c r="F123" s="28"/>
      <c r="G123" s="45">
        <f>SUM(G118:G122)</f>
        <v>0.88341251654189934</v>
      </c>
      <c r="H123" s="28">
        <f>SUM(H118:H122)</f>
        <v>2791.3275677663332</v>
      </c>
    </row>
    <row r="124" spans="1:8" ht="15.75" x14ac:dyDescent="0.25">
      <c r="A124" s="90" t="s">
        <v>40</v>
      </c>
      <c r="B124" s="27" t="s">
        <v>133</v>
      </c>
      <c r="C124" s="27"/>
      <c r="D124" s="27"/>
      <c r="E124" s="27"/>
      <c r="F124" s="28"/>
      <c r="G124" s="45">
        <f>SUM(H124/H$125)</f>
        <v>0.11658748345810062</v>
      </c>
      <c r="H124" s="28">
        <f>H108+H109+H110</f>
        <v>368.38266442839404</v>
      </c>
    </row>
    <row r="125" spans="1:8" ht="15.75" x14ac:dyDescent="0.25">
      <c r="A125" s="55"/>
      <c r="B125" s="55" t="s">
        <v>134</v>
      </c>
      <c r="C125" s="55"/>
      <c r="D125" s="55"/>
      <c r="E125" s="55"/>
      <c r="F125" s="55"/>
      <c r="G125" s="55">
        <f>SUM(G123+G124)</f>
        <v>1</v>
      </c>
      <c r="H125" s="91">
        <f>H124+H123</f>
        <v>3159.7102321947273</v>
      </c>
    </row>
    <row r="126" spans="1:8" ht="15.75" x14ac:dyDescent="0.25">
      <c r="A126" s="92"/>
      <c r="B126" s="267" t="s">
        <v>135</v>
      </c>
      <c r="C126" s="267"/>
      <c r="D126" s="267"/>
      <c r="E126" s="267"/>
      <c r="F126" s="267"/>
      <c r="G126" s="267"/>
      <c r="H126" s="267"/>
    </row>
    <row r="127" spans="1:8" ht="47.25" x14ac:dyDescent="0.25">
      <c r="A127" s="27"/>
      <c r="B127" s="16" t="s">
        <v>20</v>
      </c>
      <c r="C127" s="16"/>
      <c r="D127" s="93" t="s">
        <v>136</v>
      </c>
      <c r="E127" s="93" t="s">
        <v>137</v>
      </c>
      <c r="F127" s="94" t="s">
        <v>138</v>
      </c>
      <c r="G127" s="93" t="s">
        <v>139</v>
      </c>
      <c r="H127" s="95" t="s">
        <v>140</v>
      </c>
    </row>
    <row r="128" spans="1:8" ht="15.75" x14ac:dyDescent="0.25">
      <c r="A128" s="27"/>
      <c r="B128" s="3" t="s">
        <v>141</v>
      </c>
      <c r="C128" s="3"/>
      <c r="D128" s="3" t="s">
        <v>142</v>
      </c>
      <c r="E128" s="96" t="s">
        <v>143</v>
      </c>
      <c r="F128" s="97" t="s">
        <v>144</v>
      </c>
      <c r="G128" s="3" t="s">
        <v>145</v>
      </c>
      <c r="H128" s="98" t="s">
        <v>146</v>
      </c>
    </row>
    <row r="129" spans="1:8" ht="15.75" x14ac:dyDescent="0.25">
      <c r="A129" s="1"/>
      <c r="B129" s="14"/>
      <c r="C129" s="14"/>
      <c r="D129" s="99">
        <f>SUM(H125)</f>
        <v>3159.7102321947273</v>
      </c>
      <c r="E129" s="100">
        <v>6</v>
      </c>
      <c r="F129" s="99">
        <f>D129*E129</f>
        <v>18958.261393168363</v>
      </c>
      <c r="G129" s="101">
        <v>1</v>
      </c>
      <c r="H129" s="28">
        <f>G129*F129</f>
        <v>18958.261393168363</v>
      </c>
    </row>
    <row r="130" spans="1:8" ht="15.75" x14ac:dyDescent="0.25">
      <c r="A130" s="27"/>
      <c r="B130" s="102" t="s">
        <v>147</v>
      </c>
      <c r="C130" s="102"/>
      <c r="D130" s="103"/>
      <c r="E130" s="103"/>
      <c r="F130" s="103"/>
      <c r="G130" s="103"/>
      <c r="H130" s="104">
        <f>SUM(H129)</f>
        <v>18958.261393168363</v>
      </c>
    </row>
    <row r="131" spans="1:8" ht="15.75" x14ac:dyDescent="0.25">
      <c r="A131" s="27"/>
      <c r="B131" s="16"/>
      <c r="C131" s="16"/>
      <c r="D131" s="105"/>
      <c r="E131" s="16"/>
      <c r="F131" s="16"/>
      <c r="G131" s="16"/>
      <c r="H131" s="16"/>
    </row>
    <row r="132" spans="1:8" ht="15.75" x14ac:dyDescent="0.25">
      <c r="A132" s="83"/>
      <c r="B132" s="267" t="s">
        <v>148</v>
      </c>
      <c r="C132" s="267"/>
      <c r="D132" s="267"/>
      <c r="E132" s="267"/>
      <c r="F132" s="267"/>
      <c r="G132" s="267"/>
      <c r="H132" s="267"/>
    </row>
    <row r="133" spans="1:8" ht="15.75" x14ac:dyDescent="0.25">
      <c r="A133" s="106"/>
      <c r="B133" s="106" t="s">
        <v>149</v>
      </c>
      <c r="C133" s="106"/>
      <c r="D133" s="106"/>
      <c r="E133" s="16"/>
      <c r="F133" s="16"/>
      <c r="G133" s="16"/>
      <c r="H133" s="107" t="s">
        <v>150</v>
      </c>
    </row>
    <row r="134" spans="1:8" ht="15.75" x14ac:dyDescent="0.25">
      <c r="A134" s="108" t="s">
        <v>4</v>
      </c>
      <c r="B134" s="109" t="s">
        <v>151</v>
      </c>
      <c r="C134" s="109"/>
      <c r="D134" s="109"/>
      <c r="E134" s="13"/>
      <c r="F134" s="13"/>
      <c r="G134" s="13"/>
      <c r="H134" s="107">
        <f>D129</f>
        <v>3159.7102321947273</v>
      </c>
    </row>
    <row r="135" spans="1:8" ht="15.75" x14ac:dyDescent="0.25">
      <c r="A135" s="108" t="s">
        <v>7</v>
      </c>
      <c r="B135" s="109" t="s">
        <v>152</v>
      </c>
      <c r="C135" s="109"/>
      <c r="D135" s="109"/>
      <c r="E135" s="13"/>
      <c r="F135" s="13"/>
      <c r="G135" s="13"/>
      <c r="H135" s="107">
        <f>H130</f>
        <v>18958.261393168363</v>
      </c>
    </row>
    <row r="136" spans="1:8" ht="15.75" x14ac:dyDescent="0.25">
      <c r="A136" s="108" t="s">
        <v>17</v>
      </c>
      <c r="B136" s="7" t="s">
        <v>153</v>
      </c>
      <c r="C136" s="7"/>
      <c r="D136" s="109"/>
      <c r="E136" s="13"/>
      <c r="F136" s="13"/>
      <c r="G136" s="100">
        <v>12</v>
      </c>
      <c r="H136" s="107">
        <f>SUM(H135*G136)</f>
        <v>227499.13671802037</v>
      </c>
    </row>
    <row r="137" spans="1:8" ht="15.75" x14ac:dyDescent="0.25">
      <c r="A137" s="6"/>
      <c r="B137" s="6"/>
      <c r="C137" s="6"/>
      <c r="D137" s="6"/>
      <c r="E137" s="6"/>
      <c r="F137" s="6"/>
      <c r="G137" s="6"/>
      <c r="H137" s="6"/>
    </row>
  </sheetData>
  <mergeCells count="51">
    <mergeCell ref="E17:H17"/>
    <mergeCell ref="A3:H3"/>
    <mergeCell ref="E4:H6"/>
    <mergeCell ref="A7:D7"/>
    <mergeCell ref="A8:H8"/>
    <mergeCell ref="D9:H9"/>
    <mergeCell ref="D10:H10"/>
    <mergeCell ref="D11:H11"/>
    <mergeCell ref="D12:H12"/>
    <mergeCell ref="A14:H14"/>
    <mergeCell ref="E15:H15"/>
    <mergeCell ref="E16:H16"/>
    <mergeCell ref="D47:E48"/>
    <mergeCell ref="E18:H18"/>
    <mergeCell ref="B19:H19"/>
    <mergeCell ref="A20:H20"/>
    <mergeCell ref="D21:H21"/>
    <mergeCell ref="D22:H22"/>
    <mergeCell ref="D24:H24"/>
    <mergeCell ref="D25:H25"/>
    <mergeCell ref="B26:H26"/>
    <mergeCell ref="B39:H39"/>
    <mergeCell ref="B40:H40"/>
    <mergeCell ref="B45:H45"/>
    <mergeCell ref="B55:H55"/>
    <mergeCell ref="A57:A59"/>
    <mergeCell ref="D57:D58"/>
    <mergeCell ref="E57:E58"/>
    <mergeCell ref="F57:F58"/>
    <mergeCell ref="G57:G58"/>
    <mergeCell ref="B81:H81"/>
    <mergeCell ref="A60:A62"/>
    <mergeCell ref="D60:D61"/>
    <mergeCell ref="E60:E61"/>
    <mergeCell ref="F60:F61"/>
    <mergeCell ref="G60:G61"/>
    <mergeCell ref="B62:E62"/>
    <mergeCell ref="B63:E63"/>
    <mergeCell ref="B66:E66"/>
    <mergeCell ref="A67:H67"/>
    <mergeCell ref="B72:H72"/>
    <mergeCell ref="B80:H80"/>
    <mergeCell ref="B117:H117"/>
    <mergeCell ref="B126:H126"/>
    <mergeCell ref="B132:H132"/>
    <mergeCell ref="C83:C88"/>
    <mergeCell ref="E83:E88"/>
    <mergeCell ref="B92:H92"/>
    <mergeCell ref="A96:H96"/>
    <mergeCell ref="B100:H100"/>
    <mergeCell ref="B107:H107"/>
  </mergeCells>
  <dataValidations count="4">
    <dataValidation type="list" operator="equal" allowBlank="1" showErrorMessage="1" promptTitle="Percentual" sqref="E31">
      <formula1>$K$28:$K$31</formula1>
      <formula2>0</formula2>
    </dataValidation>
    <dataValidation type="list" operator="equal" allowBlank="1" showErrorMessage="1" sqref="D31">
      <formula1>$J$28:$J$31</formula1>
      <formula2>0</formula2>
    </dataValidation>
    <dataValidation type="list" operator="equal" allowBlank="1" showErrorMessage="1" sqref="E28">
      <formula1>$K$33:$K$34</formula1>
      <formula2>0</formula2>
    </dataValidation>
    <dataValidation type="list" operator="equal" allowBlank="1" showErrorMessage="1" sqref="D28">
      <formula1>$J$33:$J$34</formula1>
      <formula2>0</formula2>
    </dataValidation>
  </dataValidations>
  <pageMargins left="0.7" right="0.7" top="0.75" bottom="0.75" header="0.3" footer="0.3"/>
  <pageSetup orientation="portrait" r:id="rId1"/>
  <drawing r:id="rId2"/>
  <legacyDrawing r:id="rId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64"/>
  <sheetViews>
    <sheetView topLeftCell="A118" zoomScale="70" zoomScaleNormal="70" workbookViewId="0">
      <selection activeCell="G85" sqref="G85"/>
    </sheetView>
  </sheetViews>
  <sheetFormatPr defaultRowHeight="15" x14ac:dyDescent="0.25"/>
  <cols>
    <col min="1" max="1" width="4.85546875" bestFit="1" customWidth="1"/>
    <col min="2" max="2" width="54.85546875" customWidth="1"/>
    <col min="3" max="3" width="11.5703125" customWidth="1"/>
    <col min="4" max="4" width="34" customWidth="1"/>
    <col min="5" max="5" width="18" customWidth="1"/>
    <col min="6" max="6" width="25.28515625" bestFit="1" customWidth="1"/>
    <col min="7" max="7" width="11.5703125" bestFit="1" customWidth="1"/>
    <col min="8" max="8" width="27.5703125" bestFit="1" customWidth="1"/>
    <col min="9" max="9" width="20.7109375" customWidth="1"/>
    <col min="10" max="10" width="11" bestFit="1" customWidth="1"/>
  </cols>
  <sheetData>
    <row r="1" spans="1:8" x14ac:dyDescent="0.25">
      <c r="A1" s="1"/>
      <c r="B1" s="1"/>
      <c r="C1" s="1"/>
      <c r="D1" s="1"/>
      <c r="E1" s="1"/>
      <c r="F1" s="1"/>
      <c r="G1" s="1"/>
      <c r="H1" s="2"/>
    </row>
    <row r="2" spans="1:8" ht="15.75" x14ac:dyDescent="0.25">
      <c r="A2" s="3"/>
      <c r="B2" s="3" t="s">
        <v>0</v>
      </c>
      <c r="C2" s="3"/>
      <c r="D2" s="4" t="s">
        <v>1</v>
      </c>
      <c r="E2" s="3"/>
      <c r="F2" s="3" t="s">
        <v>2</v>
      </c>
      <c r="G2" s="3"/>
      <c r="H2" s="5" t="s">
        <v>156</v>
      </c>
    </row>
    <row r="3" spans="1:8" ht="15.75" x14ac:dyDescent="0.25">
      <c r="A3" s="269" t="s">
        <v>3</v>
      </c>
      <c r="B3" s="269"/>
      <c r="C3" s="269"/>
      <c r="D3" s="269"/>
      <c r="E3" s="269"/>
      <c r="F3" s="269"/>
      <c r="G3" s="269"/>
      <c r="H3" s="269"/>
    </row>
    <row r="4" spans="1:8" ht="15.75" x14ac:dyDescent="0.25">
      <c r="A4" s="6" t="s">
        <v>4</v>
      </c>
      <c r="B4" s="7" t="s">
        <v>5</v>
      </c>
      <c r="C4" s="7"/>
      <c r="D4" s="8"/>
      <c r="E4" s="287" t="s">
        <v>6</v>
      </c>
      <c r="F4" s="287"/>
      <c r="G4" s="287"/>
      <c r="H4" s="287"/>
    </row>
    <row r="5" spans="1:8" ht="15.75" x14ac:dyDescent="0.25">
      <c r="A5" s="6" t="s">
        <v>7</v>
      </c>
      <c r="B5" s="7" t="s">
        <v>8</v>
      </c>
      <c r="C5" s="7"/>
      <c r="D5" s="9"/>
      <c r="E5" s="287"/>
      <c r="F5" s="287"/>
      <c r="G5" s="287"/>
      <c r="H5" s="287"/>
    </row>
    <row r="6" spans="1:8" ht="15.75" x14ac:dyDescent="0.25">
      <c r="A6" s="6" t="s">
        <v>9</v>
      </c>
      <c r="B6" s="7" t="s">
        <v>10</v>
      </c>
      <c r="C6" s="7"/>
      <c r="D6" s="10" t="s">
        <v>11</v>
      </c>
      <c r="E6" s="287"/>
      <c r="F6" s="287"/>
      <c r="G6" s="287"/>
      <c r="H6" s="287"/>
    </row>
    <row r="7" spans="1:8" ht="15.75" x14ac:dyDescent="0.25">
      <c r="A7" s="288"/>
      <c r="B7" s="288"/>
      <c r="C7" s="288"/>
      <c r="D7" s="288"/>
      <c r="E7" s="11"/>
      <c r="F7" s="11"/>
      <c r="G7" s="11"/>
      <c r="H7" s="11"/>
    </row>
    <row r="8" spans="1:8" ht="15.75" x14ac:dyDescent="0.25">
      <c r="A8" s="269" t="s">
        <v>12</v>
      </c>
      <c r="B8" s="269"/>
      <c r="C8" s="269"/>
      <c r="D8" s="269"/>
      <c r="E8" s="269"/>
      <c r="F8" s="269"/>
      <c r="G8" s="269"/>
      <c r="H8" s="269"/>
    </row>
    <row r="9" spans="1:8" x14ac:dyDescent="0.25">
      <c r="A9" s="12" t="s">
        <v>4</v>
      </c>
      <c r="B9" s="13" t="s">
        <v>13</v>
      </c>
      <c r="C9" s="13"/>
      <c r="D9" s="281" t="s">
        <v>14</v>
      </c>
      <c r="E9" s="281"/>
      <c r="F9" s="281"/>
      <c r="G9" s="281"/>
      <c r="H9" s="281"/>
    </row>
    <row r="10" spans="1:8" x14ac:dyDescent="0.25">
      <c r="A10" s="12" t="s">
        <v>7</v>
      </c>
      <c r="B10" s="13" t="s">
        <v>15</v>
      </c>
      <c r="C10" s="13"/>
      <c r="D10" s="289" t="s">
        <v>184</v>
      </c>
      <c r="E10" s="289"/>
      <c r="F10" s="289"/>
      <c r="G10" s="289"/>
      <c r="H10" s="289"/>
    </row>
    <row r="11" spans="1:8" x14ac:dyDescent="0.25">
      <c r="A11" s="12" t="s">
        <v>9</v>
      </c>
      <c r="B11" s="13" t="s">
        <v>16</v>
      </c>
      <c r="C11" s="13"/>
      <c r="D11" s="289" t="s">
        <v>174</v>
      </c>
      <c r="E11" s="289"/>
      <c r="F11" s="289"/>
      <c r="G11" s="289"/>
      <c r="H11" s="289"/>
    </row>
    <row r="12" spans="1:8" x14ac:dyDescent="0.25">
      <c r="A12" s="12" t="s">
        <v>17</v>
      </c>
      <c r="B12" s="13" t="s">
        <v>18</v>
      </c>
      <c r="C12" s="13"/>
      <c r="D12" s="289">
        <v>12</v>
      </c>
      <c r="E12" s="289"/>
      <c r="F12" s="289"/>
      <c r="G12" s="289"/>
      <c r="H12" s="289"/>
    </row>
    <row r="13" spans="1:8" x14ac:dyDescent="0.25">
      <c r="A13" s="12"/>
      <c r="B13" s="13"/>
      <c r="C13" s="13"/>
      <c r="D13" s="14"/>
      <c r="E13" s="14"/>
      <c r="F13" s="14"/>
      <c r="G13" s="14"/>
      <c r="H13" s="15"/>
    </row>
    <row r="14" spans="1:8" ht="15.75" x14ac:dyDescent="0.25">
      <c r="A14" s="269" t="s">
        <v>19</v>
      </c>
      <c r="B14" s="269"/>
      <c r="C14" s="269"/>
      <c r="D14" s="269"/>
      <c r="E14" s="269"/>
      <c r="F14" s="269"/>
      <c r="G14" s="269"/>
      <c r="H14" s="269"/>
    </row>
    <row r="15" spans="1:8" ht="15.75" x14ac:dyDescent="0.25">
      <c r="A15" s="12"/>
      <c r="B15" s="16" t="s">
        <v>20</v>
      </c>
      <c r="C15" s="16"/>
      <c r="D15" s="17" t="s">
        <v>21</v>
      </c>
      <c r="E15" s="290" t="s">
        <v>22</v>
      </c>
      <c r="F15" s="290"/>
      <c r="G15" s="290"/>
      <c r="H15" s="290"/>
    </row>
    <row r="16" spans="1:8" x14ac:dyDescent="0.25">
      <c r="A16" s="12" t="s">
        <v>4</v>
      </c>
      <c r="B16" s="18" t="s">
        <v>180</v>
      </c>
      <c r="C16" s="19"/>
      <c r="D16" s="20" t="s">
        <v>23</v>
      </c>
      <c r="E16" s="291">
        <v>1</v>
      </c>
      <c r="F16" s="291"/>
      <c r="G16" s="291"/>
      <c r="H16" s="291"/>
    </row>
    <row r="17" spans="1:9" x14ac:dyDescent="0.25">
      <c r="A17" s="12" t="s">
        <v>7</v>
      </c>
      <c r="B17" s="13"/>
      <c r="C17" s="13"/>
      <c r="D17" s="21"/>
      <c r="E17" s="279"/>
      <c r="F17" s="279"/>
      <c r="G17" s="279"/>
      <c r="H17" s="279"/>
    </row>
    <row r="18" spans="1:9" x14ac:dyDescent="0.25">
      <c r="A18" s="12" t="s">
        <v>9</v>
      </c>
      <c r="B18" s="13"/>
      <c r="C18" s="13"/>
      <c r="D18" s="21"/>
      <c r="E18" s="279"/>
      <c r="F18" s="279"/>
      <c r="G18" s="279"/>
      <c r="H18" s="279"/>
    </row>
    <row r="19" spans="1:9" ht="15.75" x14ac:dyDescent="0.25">
      <c r="A19" s="110"/>
      <c r="B19" s="269" t="s">
        <v>24</v>
      </c>
      <c r="C19" s="269"/>
      <c r="D19" s="269"/>
      <c r="E19" s="269"/>
      <c r="F19" s="269"/>
      <c r="G19" s="269"/>
      <c r="H19" s="269"/>
    </row>
    <row r="20" spans="1:9" ht="15.75" x14ac:dyDescent="0.25">
      <c r="A20" s="280" t="s">
        <v>25</v>
      </c>
      <c r="B20" s="280"/>
      <c r="C20" s="280"/>
      <c r="D20" s="280"/>
      <c r="E20" s="280"/>
      <c r="F20" s="280"/>
      <c r="G20" s="280"/>
      <c r="H20" s="280"/>
    </row>
    <row r="21" spans="1:9" x14ac:dyDescent="0.25">
      <c r="A21" s="12">
        <v>1</v>
      </c>
      <c r="B21" s="13" t="s">
        <v>20</v>
      </c>
      <c r="C21" s="13"/>
      <c r="D21" s="281" t="s">
        <v>182</v>
      </c>
      <c r="E21" s="281"/>
      <c r="F21" s="281"/>
      <c r="G21" s="281"/>
      <c r="H21" s="281"/>
    </row>
    <row r="22" spans="1:9" x14ac:dyDescent="0.25">
      <c r="A22" s="12">
        <v>2</v>
      </c>
      <c r="B22" s="13" t="s">
        <v>26</v>
      </c>
      <c r="C22" s="13"/>
      <c r="D22" s="282" t="s">
        <v>176</v>
      </c>
      <c r="E22" s="282"/>
      <c r="F22" s="282"/>
      <c r="G22" s="282"/>
      <c r="H22" s="282"/>
    </row>
    <row r="23" spans="1:9" x14ac:dyDescent="0.25">
      <c r="A23" s="12">
        <v>3</v>
      </c>
      <c r="B23" s="13" t="s">
        <v>27</v>
      </c>
      <c r="C23" s="13"/>
      <c r="D23" s="22">
        <v>1134.1099999999999</v>
      </c>
      <c r="E23" s="23"/>
      <c r="F23" s="23"/>
      <c r="G23" s="23"/>
      <c r="H23" s="23"/>
    </row>
    <row r="24" spans="1:9" ht="30" x14ac:dyDescent="0.25">
      <c r="A24" s="1">
        <v>4</v>
      </c>
      <c r="B24" s="24" t="s">
        <v>28</v>
      </c>
      <c r="C24" s="24"/>
      <c r="D24" s="283" t="s">
        <v>170</v>
      </c>
      <c r="E24" s="283"/>
      <c r="F24" s="283"/>
      <c r="G24" s="283"/>
      <c r="H24" s="283"/>
    </row>
    <row r="25" spans="1:9" x14ac:dyDescent="0.25">
      <c r="A25" s="1">
        <v>5</v>
      </c>
      <c r="B25" s="25" t="s">
        <v>29</v>
      </c>
      <c r="C25" s="25"/>
      <c r="D25" s="284" t="s">
        <v>171</v>
      </c>
      <c r="E25" s="284"/>
      <c r="F25" s="284"/>
      <c r="G25" s="284"/>
      <c r="H25" s="284"/>
    </row>
    <row r="26" spans="1:9" ht="15.75" x14ac:dyDescent="0.25">
      <c r="A26" s="26">
        <v>1</v>
      </c>
      <c r="B26" s="267" t="s">
        <v>30</v>
      </c>
      <c r="C26" s="267"/>
      <c r="D26" s="267"/>
      <c r="E26" s="267"/>
      <c r="F26" s="267"/>
      <c r="G26" s="267"/>
      <c r="H26" s="267"/>
    </row>
    <row r="27" spans="1:9" ht="15.75" x14ac:dyDescent="0.25">
      <c r="A27" s="1" t="s">
        <v>4</v>
      </c>
      <c r="B27" s="27" t="s">
        <v>31</v>
      </c>
      <c r="C27" s="27"/>
      <c r="D27" s="27"/>
      <c r="G27" s="28"/>
      <c r="H27" s="29">
        <v>1134.1099999999999</v>
      </c>
    </row>
    <row r="28" spans="1:9" ht="15.75" x14ac:dyDescent="0.25">
      <c r="A28" s="1" t="s">
        <v>7</v>
      </c>
      <c r="B28" s="6" t="s">
        <v>32</v>
      </c>
      <c r="C28" s="6"/>
      <c r="D28" s="30"/>
      <c r="E28" s="31">
        <v>0</v>
      </c>
      <c r="H28" s="32"/>
    </row>
    <row r="29" spans="1:9" ht="15.75" x14ac:dyDescent="0.25">
      <c r="A29" s="1" t="s">
        <v>9</v>
      </c>
      <c r="B29" s="6" t="s">
        <v>34</v>
      </c>
      <c r="C29" s="6"/>
      <c r="D29" s="33" t="s">
        <v>35</v>
      </c>
      <c r="E29" s="34" t="s">
        <v>36</v>
      </c>
      <c r="F29" s="33" t="s">
        <v>37</v>
      </c>
      <c r="G29" s="35"/>
      <c r="H29" s="32"/>
    </row>
    <row r="30" spans="1:9" ht="15.75" x14ac:dyDescent="0.25">
      <c r="A30" s="1" t="s">
        <v>17</v>
      </c>
      <c r="B30" s="6" t="s">
        <v>167</v>
      </c>
      <c r="C30" s="6"/>
      <c r="D30" s="33"/>
      <c r="E30" s="34"/>
      <c r="F30" s="33"/>
      <c r="G30" s="35"/>
      <c r="H30" s="32"/>
      <c r="I30">
        <v>40</v>
      </c>
    </row>
    <row r="31" spans="1:9" ht="15.75" x14ac:dyDescent="0.25">
      <c r="A31" s="1" t="s">
        <v>40</v>
      </c>
      <c r="B31" s="6" t="s">
        <v>38</v>
      </c>
      <c r="C31" s="6"/>
      <c r="D31" s="30" t="s">
        <v>39</v>
      </c>
      <c r="E31" s="36">
        <v>0</v>
      </c>
      <c r="F31" s="37">
        <v>954</v>
      </c>
      <c r="G31" s="27"/>
      <c r="H31" s="38"/>
      <c r="I31">
        <v>120</v>
      </c>
    </row>
    <row r="32" spans="1:9" ht="15.75" x14ac:dyDescent="0.25">
      <c r="A32" s="1" t="s">
        <v>42</v>
      </c>
      <c r="B32" s="6" t="s">
        <v>41</v>
      </c>
      <c r="C32" s="6"/>
      <c r="G32" s="35"/>
      <c r="H32" s="38"/>
    </row>
    <row r="33" spans="1:9" ht="15.75" x14ac:dyDescent="0.25">
      <c r="A33" s="1" t="s">
        <v>61</v>
      </c>
      <c r="B33" s="6" t="s">
        <v>159</v>
      </c>
      <c r="C33" s="6"/>
      <c r="G33" s="35"/>
      <c r="H33" s="38"/>
    </row>
    <row r="34" spans="1:9" ht="15.75" x14ac:dyDescent="0.25">
      <c r="A34" s="1" t="s">
        <v>43</v>
      </c>
      <c r="B34" s="6" t="s">
        <v>155</v>
      </c>
      <c r="C34" s="6"/>
      <c r="G34" s="35"/>
      <c r="H34" s="38"/>
    </row>
    <row r="35" spans="1:9" ht="15.75" x14ac:dyDescent="0.25">
      <c r="A35" s="1" t="s">
        <v>161</v>
      </c>
      <c r="B35" s="8" t="s">
        <v>160</v>
      </c>
      <c r="C35" s="8"/>
      <c r="G35" s="35"/>
      <c r="H35" s="38"/>
    </row>
    <row r="36" spans="1:9" ht="15.75" x14ac:dyDescent="0.25">
      <c r="A36" s="1" t="s">
        <v>165</v>
      </c>
      <c r="B36" s="8" t="s">
        <v>162</v>
      </c>
      <c r="C36" s="8"/>
      <c r="G36" s="35"/>
      <c r="H36" s="38"/>
    </row>
    <row r="37" spans="1:9" ht="15.75" x14ac:dyDescent="0.25">
      <c r="A37" s="1" t="s">
        <v>166</v>
      </c>
      <c r="B37" s="6" t="s">
        <v>44</v>
      </c>
      <c r="C37" s="6"/>
      <c r="D37" s="27"/>
      <c r="E37" s="27"/>
      <c r="F37" s="35"/>
      <c r="G37" s="35"/>
      <c r="H37" s="35">
        <v>0</v>
      </c>
    </row>
    <row r="38" spans="1:9" ht="15.75" x14ac:dyDescent="0.25">
      <c r="A38" s="39"/>
      <c r="B38" s="40" t="s">
        <v>45</v>
      </c>
      <c r="C38" s="40"/>
      <c r="D38" s="41"/>
      <c r="E38" s="41"/>
      <c r="F38" s="42"/>
      <c r="G38" s="42"/>
      <c r="H38" s="43">
        <f>SUM(H27:H37)</f>
        <v>1134.1099999999999</v>
      </c>
    </row>
    <row r="39" spans="1:9" ht="15.75" x14ac:dyDescent="0.25">
      <c r="A39" s="44">
        <v>2</v>
      </c>
      <c r="B39" s="285" t="s">
        <v>46</v>
      </c>
      <c r="C39" s="285"/>
      <c r="D39" s="285"/>
      <c r="E39" s="285"/>
      <c r="F39" s="285"/>
      <c r="G39" s="285"/>
      <c r="H39" s="285"/>
    </row>
    <row r="40" spans="1:9" ht="15.75" x14ac:dyDescent="0.25">
      <c r="A40" s="124" t="s">
        <v>47</v>
      </c>
      <c r="B40" s="286" t="s">
        <v>48</v>
      </c>
      <c r="C40" s="286"/>
      <c r="D40" s="286"/>
      <c r="E40" s="286"/>
      <c r="F40" s="286"/>
      <c r="G40" s="286"/>
      <c r="H40" s="286"/>
    </row>
    <row r="41" spans="1:9" ht="15.75" x14ac:dyDescent="0.25">
      <c r="A41" s="1" t="s">
        <v>4</v>
      </c>
      <c r="B41" s="8" t="s">
        <v>49</v>
      </c>
      <c r="C41" s="8"/>
      <c r="D41" s="8"/>
      <c r="E41" s="27"/>
      <c r="F41" s="28"/>
      <c r="G41" s="45">
        <v>8.3299999999999999E-2</v>
      </c>
      <c r="H41" s="28">
        <f>SUM($H$38*G41)</f>
        <v>94.471362999999997</v>
      </c>
    </row>
    <row r="42" spans="1:9" ht="15.75" x14ac:dyDescent="0.25">
      <c r="A42" s="1" t="s">
        <v>7</v>
      </c>
      <c r="B42" s="27" t="s">
        <v>50</v>
      </c>
      <c r="C42" s="27"/>
      <c r="D42" s="27"/>
      <c r="E42" s="27"/>
      <c r="F42" s="46"/>
      <c r="G42" s="47">
        <v>0.121</v>
      </c>
      <c r="H42" s="28">
        <f>SUM($H$38*G42)</f>
        <v>137.22730999999999</v>
      </c>
    </row>
    <row r="43" spans="1:9" ht="15.75" x14ac:dyDescent="0.25">
      <c r="A43" s="1" t="s">
        <v>9</v>
      </c>
      <c r="B43" s="48" t="s">
        <v>51</v>
      </c>
      <c r="C43" s="48"/>
      <c r="D43" s="27"/>
      <c r="E43" s="27"/>
      <c r="F43" s="46"/>
      <c r="G43" s="47">
        <f>G42+G41*G54</f>
        <v>0.15165439999999999</v>
      </c>
      <c r="H43" s="28">
        <f>SUM(H41:H42)*G54</f>
        <v>85.265111664000017</v>
      </c>
    </row>
    <row r="44" spans="1:9" ht="15.75" x14ac:dyDescent="0.25">
      <c r="A44" s="49"/>
      <c r="B44" s="50" t="s">
        <v>45</v>
      </c>
      <c r="C44" s="40"/>
      <c r="D44" s="41"/>
      <c r="E44" s="41"/>
      <c r="F44" s="42"/>
      <c r="G44" s="42"/>
      <c r="H44" s="43">
        <f>SUM(H41:H43)</f>
        <v>316.963784664</v>
      </c>
    </row>
    <row r="45" spans="1:9" ht="15.75" x14ac:dyDescent="0.25">
      <c r="A45" s="110" t="s">
        <v>52</v>
      </c>
      <c r="B45" s="269" t="s">
        <v>53</v>
      </c>
      <c r="C45" s="269"/>
      <c r="D45" s="269"/>
      <c r="E45" s="269"/>
      <c r="F45" s="269"/>
      <c r="G45" s="269"/>
      <c r="H45" s="269"/>
    </row>
    <row r="46" spans="1:9" ht="15.75" x14ac:dyDescent="0.25">
      <c r="A46" s="1" t="s">
        <v>4</v>
      </c>
      <c r="B46" s="51" t="s">
        <v>54</v>
      </c>
      <c r="C46" s="51"/>
      <c r="D46" s="27"/>
      <c r="E46" s="27"/>
      <c r="F46" s="28"/>
      <c r="G46" s="45">
        <v>0.2</v>
      </c>
      <c r="H46" s="28">
        <f>SUM($H$38*G46)</f>
        <v>226.822</v>
      </c>
    </row>
    <row r="47" spans="1:9" ht="15.75" x14ac:dyDescent="0.25">
      <c r="A47" s="1" t="s">
        <v>7</v>
      </c>
      <c r="B47" s="51" t="s">
        <v>55</v>
      </c>
      <c r="C47" s="51"/>
      <c r="D47" s="278" t="s">
        <v>56</v>
      </c>
      <c r="E47" s="278"/>
      <c r="F47" s="28"/>
      <c r="G47" s="52">
        <v>1.4999999999999999E-2</v>
      </c>
      <c r="H47" s="28">
        <f t="shared" ref="H47:H53" si="0">SUM($H$38*G47)</f>
        <v>17.011649999999999</v>
      </c>
      <c r="I47" s="115"/>
    </row>
    <row r="48" spans="1:9" ht="15.75" x14ac:dyDescent="0.25">
      <c r="A48" s="1" t="s">
        <v>9</v>
      </c>
      <c r="B48" s="51" t="s">
        <v>57</v>
      </c>
      <c r="C48" s="51"/>
      <c r="D48" s="278"/>
      <c r="E48" s="278"/>
      <c r="F48" s="28"/>
      <c r="G48" s="52">
        <v>0.01</v>
      </c>
      <c r="H48" s="28">
        <f t="shared" si="0"/>
        <v>11.341099999999999</v>
      </c>
    </row>
    <row r="49" spans="1:13" ht="15.75" x14ac:dyDescent="0.25">
      <c r="A49" s="1" t="s">
        <v>17</v>
      </c>
      <c r="B49" s="51" t="s">
        <v>58</v>
      </c>
      <c r="C49" s="51"/>
      <c r="D49" s="27"/>
      <c r="E49" s="27"/>
      <c r="F49" s="28"/>
      <c r="G49" s="52">
        <v>2E-3</v>
      </c>
      <c r="H49" s="28">
        <f t="shared" si="0"/>
        <v>2.2682199999999999</v>
      </c>
    </row>
    <row r="50" spans="1:13" ht="15.75" x14ac:dyDescent="0.25">
      <c r="A50" s="1" t="s">
        <v>40</v>
      </c>
      <c r="B50" s="51" t="s">
        <v>59</v>
      </c>
      <c r="C50" s="51"/>
      <c r="D50" s="27"/>
      <c r="E50" s="27"/>
      <c r="F50" s="28"/>
      <c r="G50" s="52">
        <v>2.5000000000000001E-2</v>
      </c>
      <c r="H50" s="28">
        <f>SUM($H$38*G50)</f>
        <v>28.35275</v>
      </c>
    </row>
    <row r="51" spans="1:13" ht="15.75" x14ac:dyDescent="0.25">
      <c r="A51" s="1" t="s">
        <v>42</v>
      </c>
      <c r="B51" s="51" t="s">
        <v>60</v>
      </c>
      <c r="C51" s="51"/>
      <c r="D51" s="27"/>
      <c r="E51" s="27"/>
      <c r="F51" s="28"/>
      <c r="G51" s="45">
        <v>0.08</v>
      </c>
      <c r="H51" s="28">
        <f t="shared" si="0"/>
        <v>90.728799999999993</v>
      </c>
    </row>
    <row r="52" spans="1:13" ht="15.75" x14ac:dyDescent="0.25">
      <c r="A52" s="127" t="s">
        <v>61</v>
      </c>
      <c r="B52" s="128" t="s">
        <v>62</v>
      </c>
      <c r="C52" s="128"/>
      <c r="D52" s="129"/>
      <c r="E52" s="129"/>
      <c r="F52" s="129"/>
      <c r="G52" s="130">
        <v>0.03</v>
      </c>
      <c r="H52" s="131">
        <f t="shared" si="0"/>
        <v>34.023299999999999</v>
      </c>
    </row>
    <row r="53" spans="1:13" ht="15.75" x14ac:dyDescent="0.25">
      <c r="A53" s="1" t="s">
        <v>43</v>
      </c>
      <c r="B53" s="51" t="s">
        <v>63</v>
      </c>
      <c r="C53" s="51"/>
      <c r="D53" s="27"/>
      <c r="E53" s="27"/>
      <c r="F53" s="28"/>
      <c r="G53" s="52">
        <v>6.0000000000000001E-3</v>
      </c>
      <c r="H53" s="28">
        <f t="shared" si="0"/>
        <v>6.8046599999999993</v>
      </c>
      <c r="I53" s="121">
        <f>H54+H43</f>
        <v>502.61759166400003</v>
      </c>
    </row>
    <row r="54" spans="1:13" ht="15.75" x14ac:dyDescent="0.25">
      <c r="A54" s="54"/>
      <c r="B54" s="55" t="s">
        <v>45</v>
      </c>
      <c r="C54" s="55"/>
      <c r="D54" s="40"/>
      <c r="E54" s="40"/>
      <c r="F54" s="56"/>
      <c r="G54" s="57">
        <f>SUM(G46:G53)</f>
        <v>0.3680000000000001</v>
      </c>
      <c r="H54" s="58">
        <f>SUM(H46:H53)</f>
        <v>417.35248000000001</v>
      </c>
    </row>
    <row r="55" spans="1:13" ht="15.75" x14ac:dyDescent="0.25">
      <c r="A55" s="110" t="s">
        <v>64</v>
      </c>
      <c r="B55" s="269" t="s">
        <v>65</v>
      </c>
      <c r="C55" s="269"/>
      <c r="D55" s="269"/>
      <c r="E55" s="269"/>
      <c r="F55" s="269"/>
      <c r="G55" s="269"/>
      <c r="H55" s="269"/>
    </row>
    <row r="56" spans="1:13" ht="15.75" x14ac:dyDescent="0.25">
      <c r="A56" s="6" t="s">
        <v>66</v>
      </c>
      <c r="B56" s="59"/>
      <c r="C56" s="59"/>
      <c r="D56" s="60" t="s">
        <v>67</v>
      </c>
      <c r="E56" s="60" t="s">
        <v>68</v>
      </c>
      <c r="F56" s="60" t="s">
        <v>69</v>
      </c>
      <c r="G56" s="60" t="s">
        <v>70</v>
      </c>
      <c r="H56" s="6"/>
    </row>
    <row r="57" spans="1:13" ht="15.75" x14ac:dyDescent="0.25">
      <c r="A57" s="270" t="s">
        <v>4</v>
      </c>
      <c r="B57" s="6" t="s">
        <v>71</v>
      </c>
      <c r="C57" s="6"/>
      <c r="D57" s="271"/>
      <c r="E57" s="272"/>
      <c r="F57" s="273"/>
      <c r="G57" s="274"/>
      <c r="H57" s="35">
        <f>F57*E57*D57</f>
        <v>0</v>
      </c>
    </row>
    <row r="58" spans="1:13" ht="15.75" x14ac:dyDescent="0.25">
      <c r="A58" s="270"/>
      <c r="B58" s="6" t="s">
        <v>72</v>
      </c>
      <c r="C58" s="6"/>
      <c r="D58" s="271"/>
      <c r="E58" s="271"/>
      <c r="F58" s="271"/>
      <c r="G58" s="271"/>
      <c r="H58" s="35">
        <f>H27*G57</f>
        <v>0</v>
      </c>
    </row>
    <row r="59" spans="1:13" ht="15.75" x14ac:dyDescent="0.25">
      <c r="A59" s="270"/>
      <c r="B59" s="8" t="s">
        <v>73</v>
      </c>
      <c r="C59" s="8"/>
      <c r="D59" s="8"/>
      <c r="E59" s="27"/>
      <c r="F59" s="27"/>
      <c r="G59" s="61"/>
      <c r="H59" s="35">
        <f>H57-H58</f>
        <v>0</v>
      </c>
    </row>
    <row r="60" spans="1:13" ht="15.75" x14ac:dyDescent="0.25">
      <c r="A60" s="270" t="s">
        <v>7</v>
      </c>
      <c r="B60" s="6" t="s">
        <v>74</v>
      </c>
      <c r="C60" s="6"/>
      <c r="D60" s="271">
        <v>1</v>
      </c>
      <c r="E60" s="272">
        <v>1</v>
      </c>
      <c r="F60" s="273">
        <v>145.22999999999999</v>
      </c>
      <c r="G60" s="274">
        <v>0.2</v>
      </c>
      <c r="H60" s="35">
        <f>F60*E60*D60</f>
        <v>145.22999999999999</v>
      </c>
    </row>
    <row r="61" spans="1:13" ht="15.75" x14ac:dyDescent="0.25">
      <c r="A61" s="270"/>
      <c r="B61" s="6" t="s">
        <v>72</v>
      </c>
      <c r="C61" s="6"/>
      <c r="D61" s="271"/>
      <c r="E61" s="271"/>
      <c r="F61" s="271"/>
      <c r="G61" s="271"/>
      <c r="H61" s="35">
        <f>H60*G60</f>
        <v>29.045999999999999</v>
      </c>
    </row>
    <row r="62" spans="1:13" ht="15.75" x14ac:dyDescent="0.25">
      <c r="A62" s="270"/>
      <c r="B62" s="275" t="s">
        <v>75</v>
      </c>
      <c r="C62" s="275"/>
      <c r="D62" s="275"/>
      <c r="E62" s="275"/>
      <c r="F62" s="13"/>
      <c r="G62" s="13"/>
      <c r="H62" s="35">
        <f>H60-H61</f>
        <v>116.184</v>
      </c>
    </row>
    <row r="63" spans="1:13" ht="15.75" x14ac:dyDescent="0.25">
      <c r="A63" s="62" t="s">
        <v>9</v>
      </c>
      <c r="B63" s="275" t="s">
        <v>76</v>
      </c>
      <c r="C63" s="275"/>
      <c r="D63" s="275"/>
      <c r="E63" s="275"/>
      <c r="F63" s="13"/>
      <c r="G63" s="13"/>
      <c r="H63" s="35">
        <v>0</v>
      </c>
    </row>
    <row r="64" spans="1:13" ht="15.75" x14ac:dyDescent="0.25">
      <c r="A64" s="62" t="s">
        <v>17</v>
      </c>
      <c r="B64" s="117" t="s">
        <v>177</v>
      </c>
      <c r="C64" s="117"/>
      <c r="D64" s="117"/>
      <c r="E64" s="117" t="s">
        <v>163</v>
      </c>
      <c r="F64" s="13"/>
      <c r="G64" s="13"/>
      <c r="H64" s="35">
        <v>100</v>
      </c>
      <c r="J64" s="125"/>
      <c r="K64" s="13"/>
      <c r="L64" s="13"/>
      <c r="M64" s="35">
        <v>0</v>
      </c>
    </row>
    <row r="65" spans="1:13" ht="15.75" x14ac:dyDescent="0.25">
      <c r="A65" s="62" t="s">
        <v>40</v>
      </c>
      <c r="B65" s="116" t="s">
        <v>224</v>
      </c>
      <c r="C65" s="117"/>
      <c r="D65" s="117"/>
      <c r="E65" s="117"/>
      <c r="F65" s="13"/>
      <c r="G65" s="13"/>
      <c r="H65" s="35">
        <v>3.53</v>
      </c>
      <c r="J65" s="148"/>
      <c r="K65" s="13"/>
      <c r="L65" s="13"/>
      <c r="M65" s="35"/>
    </row>
    <row r="66" spans="1:13" ht="15.75" x14ac:dyDescent="0.25">
      <c r="A66" s="62" t="s">
        <v>42</v>
      </c>
      <c r="B66" s="116" t="s">
        <v>78</v>
      </c>
      <c r="C66" s="116"/>
      <c r="D66" s="116"/>
      <c r="E66" s="118">
        <v>0</v>
      </c>
      <c r="H66" s="35">
        <f>(1/12*(H27+H28+H30))*E66</f>
        <v>0</v>
      </c>
    </row>
    <row r="67" spans="1:13" ht="15.75" x14ac:dyDescent="0.25">
      <c r="A67" s="63"/>
      <c r="B67" s="276" t="s">
        <v>45</v>
      </c>
      <c r="C67" s="276"/>
      <c r="D67" s="276"/>
      <c r="E67" s="276"/>
      <c r="F67" s="64"/>
      <c r="G67" s="64"/>
      <c r="H67" s="65">
        <f>H59+H62+H63+H64+H65+H66</f>
        <v>219.714</v>
      </c>
    </row>
    <row r="68" spans="1:13" ht="15.75" x14ac:dyDescent="0.25">
      <c r="A68" s="269" t="s">
        <v>79</v>
      </c>
      <c r="B68" s="269"/>
      <c r="C68" s="269"/>
      <c r="D68" s="269"/>
      <c r="E68" s="269"/>
      <c r="F68" s="269"/>
      <c r="G68" s="269"/>
      <c r="H68" s="269"/>
    </row>
    <row r="69" spans="1:13" ht="15.75" x14ac:dyDescent="0.25">
      <c r="A69" s="62" t="s">
        <v>47</v>
      </c>
      <c r="B69" s="8" t="s">
        <v>80</v>
      </c>
      <c r="C69" s="8"/>
      <c r="D69" s="66"/>
      <c r="E69" s="66"/>
      <c r="F69" s="13"/>
      <c r="G69" s="13"/>
      <c r="H69" s="67">
        <f>H44</f>
        <v>316.963784664</v>
      </c>
    </row>
    <row r="70" spans="1:13" ht="15.75" x14ac:dyDescent="0.25">
      <c r="A70" s="62" t="s">
        <v>52</v>
      </c>
      <c r="B70" s="8" t="s">
        <v>81</v>
      </c>
      <c r="C70" s="8"/>
      <c r="D70" s="66"/>
      <c r="E70" s="66"/>
      <c r="F70" s="13"/>
      <c r="G70" s="13"/>
      <c r="H70" s="67">
        <f>H54</f>
        <v>417.35248000000001</v>
      </c>
    </row>
    <row r="71" spans="1:13" ht="15.75" x14ac:dyDescent="0.25">
      <c r="A71" s="62" t="s">
        <v>64</v>
      </c>
      <c r="B71" s="8" t="s">
        <v>82</v>
      </c>
      <c r="C71" s="8"/>
      <c r="D71" s="66"/>
      <c r="E71" s="66"/>
      <c r="F71" s="13"/>
      <c r="G71" s="13"/>
      <c r="H71" s="67">
        <f>H67</f>
        <v>219.714</v>
      </c>
    </row>
    <row r="72" spans="1:13" ht="15.75" x14ac:dyDescent="0.25">
      <c r="A72" s="63"/>
      <c r="B72" s="126" t="s">
        <v>45</v>
      </c>
      <c r="C72" s="126"/>
      <c r="D72" s="126"/>
      <c r="E72" s="126"/>
      <c r="F72" s="64"/>
      <c r="G72" s="64"/>
      <c r="H72" s="65">
        <f>SUM(H69:H71)</f>
        <v>954.03026466400001</v>
      </c>
    </row>
    <row r="73" spans="1:13" ht="15.75" x14ac:dyDescent="0.25">
      <c r="A73" s="68">
        <v>3</v>
      </c>
      <c r="B73" s="267" t="s">
        <v>83</v>
      </c>
      <c r="C73" s="267"/>
      <c r="D73" s="267"/>
      <c r="E73" s="267"/>
      <c r="F73" s="267"/>
      <c r="G73" s="267"/>
      <c r="H73" s="267"/>
    </row>
    <row r="74" spans="1:13" ht="15.75" x14ac:dyDescent="0.25">
      <c r="A74" s="1" t="s">
        <v>4</v>
      </c>
      <c r="B74" s="48" t="s">
        <v>84</v>
      </c>
      <c r="C74" s="48"/>
      <c r="D74" s="69"/>
      <c r="E74" s="69"/>
      <c r="F74" s="69"/>
      <c r="G74" s="45">
        <v>4.1999999999999997E-3</v>
      </c>
      <c r="H74" s="28">
        <f>SUM($H$38*G74)</f>
        <v>4.7632619999999992</v>
      </c>
      <c r="I74" s="115"/>
    </row>
    <row r="75" spans="1:13" ht="15.75" x14ac:dyDescent="0.25">
      <c r="A75" s="1" t="s">
        <v>7</v>
      </c>
      <c r="B75" s="48" t="s">
        <v>85</v>
      </c>
      <c r="C75" s="48"/>
      <c r="D75" s="27"/>
      <c r="E75" s="27"/>
      <c r="F75" s="28"/>
      <c r="G75" s="45">
        <f>G74*0.08</f>
        <v>3.3599999999999998E-4</v>
      </c>
      <c r="H75" s="28">
        <f>SUM($H$38*G75)</f>
        <v>0.38106095999999995</v>
      </c>
    </row>
    <row r="76" spans="1:13" ht="15.75" x14ac:dyDescent="0.25">
      <c r="A76" s="1" t="s">
        <v>9</v>
      </c>
      <c r="B76" s="48" t="s">
        <v>86</v>
      </c>
      <c r="C76" s="48"/>
      <c r="D76" s="70"/>
      <c r="E76" s="70"/>
      <c r="F76" s="70"/>
      <c r="G76" s="71">
        <v>2.0000000000000001E-4</v>
      </c>
      <c r="H76" s="72">
        <f>(ROUND(SUM($H$38*G76),2))</f>
        <v>0.23</v>
      </c>
    </row>
    <row r="77" spans="1:13" ht="15.75" x14ac:dyDescent="0.25">
      <c r="A77" s="1" t="s">
        <v>17</v>
      </c>
      <c r="B77" s="27" t="s">
        <v>87</v>
      </c>
      <c r="C77" s="27"/>
      <c r="D77" s="69"/>
      <c r="E77" s="69"/>
      <c r="F77" s="69"/>
      <c r="G77" s="45">
        <v>1.9400000000000001E-2</v>
      </c>
      <c r="H77" s="28">
        <f>SUM($H$38*G77)</f>
        <v>22.001733999999999</v>
      </c>
      <c r="I77" s="115"/>
    </row>
    <row r="78" spans="1:13" ht="15.75" x14ac:dyDescent="0.25">
      <c r="A78" s="1" t="s">
        <v>40</v>
      </c>
      <c r="B78" s="48" t="s">
        <v>226</v>
      </c>
      <c r="C78" s="48"/>
      <c r="D78" s="27"/>
      <c r="E78" s="27"/>
      <c r="F78" s="28"/>
      <c r="G78" s="45">
        <f>G77*G54</f>
        <v>7.1392000000000027E-3</v>
      </c>
      <c r="H78" s="28">
        <f>SUM($H$38*G78)</f>
        <v>8.0966381120000026</v>
      </c>
    </row>
    <row r="79" spans="1:13" ht="15.75" x14ac:dyDescent="0.25">
      <c r="A79" s="1" t="s">
        <v>42</v>
      </c>
      <c r="B79" s="27" t="s">
        <v>89</v>
      </c>
      <c r="C79" s="27"/>
      <c r="D79" s="70"/>
      <c r="E79" s="70"/>
      <c r="F79" s="70"/>
      <c r="G79" s="52">
        <v>1E-4</v>
      </c>
      <c r="H79" s="28">
        <f>SUM($H$38*G79)</f>
        <v>0.113411</v>
      </c>
    </row>
    <row r="80" spans="1:13" ht="15.75" x14ac:dyDescent="0.25">
      <c r="A80" s="73"/>
      <c r="B80" s="55" t="s">
        <v>45</v>
      </c>
      <c r="C80" s="55"/>
      <c r="D80" s="41"/>
      <c r="E80" s="41"/>
      <c r="F80" s="74"/>
      <c r="G80" s="57">
        <f>SUM(G74:G79)</f>
        <v>3.1375200000000006E-2</v>
      </c>
      <c r="H80" s="58">
        <f>SUM(H74:H79)</f>
        <v>35.586106072</v>
      </c>
    </row>
    <row r="81" spans="1:9" ht="15.75" x14ac:dyDescent="0.25">
      <c r="A81" s="44">
        <v>4</v>
      </c>
      <c r="B81" s="277" t="s">
        <v>90</v>
      </c>
      <c r="C81" s="277"/>
      <c r="D81" s="277"/>
      <c r="E81" s="277"/>
      <c r="F81" s="277"/>
      <c r="G81" s="277"/>
      <c r="H81" s="277"/>
    </row>
    <row r="82" spans="1:9" ht="15.75" x14ac:dyDescent="0.25">
      <c r="A82" s="75" t="s">
        <v>91</v>
      </c>
      <c r="B82" s="269" t="s">
        <v>237</v>
      </c>
      <c r="C82" s="269"/>
      <c r="D82" s="269"/>
      <c r="E82" s="269"/>
      <c r="F82" s="269"/>
      <c r="G82" s="269"/>
      <c r="H82" s="269"/>
    </row>
    <row r="83" spans="1:9" ht="15.75" x14ac:dyDescent="0.25">
      <c r="A83" s="12" t="s">
        <v>4</v>
      </c>
      <c r="B83" s="51" t="s">
        <v>227</v>
      </c>
      <c r="C83" s="51"/>
      <c r="D83" s="53"/>
      <c r="E83" s="53"/>
      <c r="F83" s="53"/>
      <c r="G83" s="45">
        <f>(G41+G42)/12</f>
        <v>1.7024999999999998E-2</v>
      </c>
      <c r="H83" s="28"/>
    </row>
    <row r="84" spans="1:9" ht="15.75" x14ac:dyDescent="0.25">
      <c r="A84" s="123" t="s">
        <v>7</v>
      </c>
      <c r="B84" s="51" t="s">
        <v>228</v>
      </c>
      <c r="C84" s="268" t="s">
        <v>95</v>
      </c>
      <c r="D84" s="76">
        <v>1</v>
      </c>
      <c r="E84" s="268" t="s">
        <v>96</v>
      </c>
      <c r="F84" s="77">
        <v>1</v>
      </c>
      <c r="G84" s="45">
        <f t="shared" ref="G84:G89" si="1">D84/360*F84</f>
        <v>2.7777777777777779E-3</v>
      </c>
      <c r="H84" s="28">
        <f t="shared" ref="H84:H88" si="2">SUM(H$38*G84)</f>
        <v>3.1503055555555552</v>
      </c>
    </row>
    <row r="85" spans="1:9" ht="15.75" x14ac:dyDescent="0.25">
      <c r="A85" s="12" t="s">
        <v>9</v>
      </c>
      <c r="B85" s="51" t="s">
        <v>229</v>
      </c>
      <c r="C85" s="268"/>
      <c r="D85" s="76">
        <v>20</v>
      </c>
      <c r="E85" s="268"/>
      <c r="F85" s="77">
        <v>1.4999999999999999E-2</v>
      </c>
      <c r="G85" s="45">
        <f t="shared" si="1"/>
        <v>8.3333333333333328E-4</v>
      </c>
      <c r="H85" s="28">
        <f t="shared" si="2"/>
        <v>0.94509166666666655</v>
      </c>
    </row>
    <row r="86" spans="1:9" ht="15.75" x14ac:dyDescent="0.25">
      <c r="A86" s="12" t="s">
        <v>17</v>
      </c>
      <c r="B86" s="51" t="s">
        <v>230</v>
      </c>
      <c r="C86" s="268"/>
      <c r="D86" s="76">
        <v>15</v>
      </c>
      <c r="E86" s="268"/>
      <c r="F86" s="78">
        <v>1.3299999999999999E-2</v>
      </c>
      <c r="G86" s="45">
        <f t="shared" si="1"/>
        <v>5.5416666666666657E-4</v>
      </c>
      <c r="H86" s="28">
        <f t="shared" si="2"/>
        <v>0.62848595833333321</v>
      </c>
    </row>
    <row r="87" spans="1:9" ht="15.75" x14ac:dyDescent="0.25">
      <c r="A87" s="12" t="s">
        <v>40</v>
      </c>
      <c r="B87" s="51" t="s">
        <v>231</v>
      </c>
      <c r="C87" s="268"/>
      <c r="D87" s="76">
        <v>180</v>
      </c>
      <c r="E87" s="268"/>
      <c r="F87" s="77">
        <v>1.8599999999999998E-2</v>
      </c>
      <c r="G87" s="45">
        <f t="shared" si="1"/>
        <v>9.2999999999999992E-3</v>
      </c>
      <c r="H87" s="28">
        <f t="shared" si="2"/>
        <v>10.547222999999999</v>
      </c>
    </row>
    <row r="88" spans="1:9" ht="15.75" x14ac:dyDescent="0.25">
      <c r="A88" s="12" t="s">
        <v>42</v>
      </c>
      <c r="B88" s="51" t="s">
        <v>232</v>
      </c>
      <c r="C88" s="268"/>
      <c r="D88" s="79">
        <v>5</v>
      </c>
      <c r="E88" s="268"/>
      <c r="F88" s="80">
        <v>1</v>
      </c>
      <c r="G88" s="45">
        <f t="shared" si="1"/>
        <v>1.3888888888888888E-2</v>
      </c>
      <c r="H88" s="81">
        <f t="shared" si="2"/>
        <v>15.751527777777776</v>
      </c>
    </row>
    <row r="89" spans="1:9" ht="15.75" x14ac:dyDescent="0.25">
      <c r="A89" s="12" t="s">
        <v>61</v>
      </c>
      <c r="B89" s="51" t="s">
        <v>101</v>
      </c>
      <c r="C89" s="268"/>
      <c r="D89" s="79"/>
      <c r="E89" s="268"/>
      <c r="F89" s="82"/>
      <c r="G89" s="45">
        <f t="shared" si="1"/>
        <v>0</v>
      </c>
      <c r="H89" s="81"/>
    </row>
    <row r="90" spans="1:9" ht="15.75" x14ac:dyDescent="0.25">
      <c r="A90" s="19"/>
      <c r="B90" s="6" t="s">
        <v>102</v>
      </c>
      <c r="C90" s="6"/>
      <c r="D90" s="27"/>
      <c r="E90" s="27"/>
      <c r="F90" s="28"/>
      <c r="G90" s="45">
        <f>SUM(G83:G89)</f>
        <v>4.4379166666666664E-2</v>
      </c>
      <c r="H90" s="28">
        <f>SUM(H83:H89)</f>
        <v>31.02263395833333</v>
      </c>
      <c r="I90" s="115">
        <f>SUM(H84:H90)*G54</f>
        <v>22.832658593333338</v>
      </c>
    </row>
    <row r="91" spans="1:9" ht="15.75" x14ac:dyDescent="0.25">
      <c r="A91" s="12" t="s">
        <v>42</v>
      </c>
      <c r="B91" s="51" t="s">
        <v>103</v>
      </c>
      <c r="C91" s="51"/>
      <c r="D91" s="27"/>
      <c r="E91" s="27"/>
      <c r="F91" s="28"/>
      <c r="G91" s="45">
        <f>G90*G54</f>
        <v>1.6331533333333335E-2</v>
      </c>
      <c r="H91" s="28">
        <f>SUM(H90*G54)</f>
        <v>11.416329296666669</v>
      </c>
    </row>
    <row r="92" spans="1:9" ht="15.75" x14ac:dyDescent="0.25">
      <c r="A92" s="73"/>
      <c r="B92" s="55" t="s">
        <v>45</v>
      </c>
      <c r="C92" s="55"/>
      <c r="D92" s="41"/>
      <c r="E92" s="41"/>
      <c r="F92" s="74"/>
      <c r="G92" s="57">
        <f>G91+G90</f>
        <v>6.0710699999999999E-2</v>
      </c>
      <c r="H92" s="58">
        <f>SUM(H90:H91)</f>
        <v>42.438963254999997</v>
      </c>
    </row>
    <row r="93" spans="1:9" ht="15.75" x14ac:dyDescent="0.25">
      <c r="A93" s="75" t="s">
        <v>104</v>
      </c>
      <c r="B93" s="269" t="s">
        <v>233</v>
      </c>
      <c r="C93" s="269"/>
      <c r="D93" s="269"/>
      <c r="E93" s="269"/>
      <c r="F93" s="269"/>
      <c r="G93" s="269"/>
      <c r="H93" s="269"/>
    </row>
    <row r="94" spans="1:9" ht="15.75" x14ac:dyDescent="0.25">
      <c r="A94" s="12" t="s">
        <v>4</v>
      </c>
      <c r="B94" s="51" t="s">
        <v>235</v>
      </c>
      <c r="C94" s="51"/>
      <c r="D94" s="53"/>
      <c r="E94" s="53"/>
      <c r="F94" s="53"/>
      <c r="G94" s="52">
        <v>0</v>
      </c>
      <c r="H94" s="28">
        <f>SUM(H$38*G94)</f>
        <v>0</v>
      </c>
    </row>
    <row r="95" spans="1:9" ht="15.75" x14ac:dyDescent="0.25">
      <c r="A95" s="12" t="s">
        <v>7</v>
      </c>
      <c r="B95" s="51" t="s">
        <v>107</v>
      </c>
      <c r="C95" s="51"/>
      <c r="D95" s="53"/>
      <c r="E95" s="53"/>
      <c r="F95" s="53"/>
      <c r="G95" s="45">
        <f>G94*G54</f>
        <v>0</v>
      </c>
      <c r="H95" s="28">
        <f>SUM($H$38*G95)</f>
        <v>0</v>
      </c>
    </row>
    <row r="96" spans="1:9" ht="15.75" x14ac:dyDescent="0.25">
      <c r="A96" s="73"/>
      <c r="B96" s="55" t="s">
        <v>45</v>
      </c>
      <c r="C96" s="55"/>
      <c r="D96" s="41"/>
      <c r="E96" s="41"/>
      <c r="F96" s="74"/>
      <c r="G96" s="57">
        <f>G95+G94</f>
        <v>0</v>
      </c>
      <c r="H96" s="58">
        <f>SUM(H94:H95)</f>
        <v>0</v>
      </c>
    </row>
    <row r="97" spans="1:10" ht="15.75" x14ac:dyDescent="0.25">
      <c r="A97" s="269" t="s">
        <v>108</v>
      </c>
      <c r="B97" s="269"/>
      <c r="C97" s="269"/>
      <c r="D97" s="269"/>
      <c r="E97" s="269"/>
      <c r="F97" s="269"/>
      <c r="G97" s="269"/>
      <c r="H97" s="269"/>
    </row>
    <row r="98" spans="1:10" ht="15.75" x14ac:dyDescent="0.25">
      <c r="A98" s="12" t="s">
        <v>91</v>
      </c>
      <c r="B98" s="51" t="s">
        <v>236</v>
      </c>
      <c r="C98" s="51"/>
      <c r="D98" s="53"/>
      <c r="E98" s="53"/>
      <c r="F98" s="53"/>
      <c r="G98" s="45">
        <f>G92</f>
        <v>6.0710699999999999E-2</v>
      </c>
      <c r="H98" s="28">
        <f>H92</f>
        <v>42.438963254999997</v>
      </c>
    </row>
    <row r="99" spans="1:10" ht="15.75" x14ac:dyDescent="0.25">
      <c r="A99" s="12" t="s">
        <v>104</v>
      </c>
      <c r="B99" s="51" t="s">
        <v>234</v>
      </c>
      <c r="C99" s="51"/>
      <c r="D99" s="53"/>
      <c r="E99" s="53"/>
      <c r="F99" s="53"/>
      <c r="G99" s="45">
        <f>G96</f>
        <v>0</v>
      </c>
      <c r="H99" s="28">
        <f>H96</f>
        <v>0</v>
      </c>
    </row>
    <row r="100" spans="1:10" ht="15.75" x14ac:dyDescent="0.25">
      <c r="A100" s="73"/>
      <c r="B100" s="55" t="s">
        <v>45</v>
      </c>
      <c r="C100" s="55"/>
      <c r="D100" s="41"/>
      <c r="E100" s="41"/>
      <c r="F100" s="74"/>
      <c r="G100" s="57">
        <f>G96+G92</f>
        <v>6.0710699999999999E-2</v>
      </c>
      <c r="H100" s="58">
        <f>SUM(H98:H99)</f>
        <v>42.438963254999997</v>
      </c>
    </row>
    <row r="101" spans="1:10" ht="15.75" x14ac:dyDescent="0.25">
      <c r="A101" s="83">
        <v>5</v>
      </c>
      <c r="B101" s="269" t="s">
        <v>110</v>
      </c>
      <c r="C101" s="269"/>
      <c r="D101" s="269"/>
      <c r="E101" s="269"/>
      <c r="F101" s="269"/>
      <c r="G101" s="269"/>
      <c r="H101" s="269"/>
    </row>
    <row r="102" spans="1:10" ht="15.75" x14ac:dyDescent="0.25">
      <c r="A102" s="12" t="s">
        <v>4</v>
      </c>
      <c r="B102" s="13" t="s">
        <v>111</v>
      </c>
      <c r="C102" s="13"/>
      <c r="D102" s="84"/>
      <c r="E102" s="27"/>
      <c r="F102" s="85"/>
      <c r="G102" s="85"/>
      <c r="H102" s="85">
        <v>23.6</v>
      </c>
    </row>
    <row r="103" spans="1:10" ht="15.75" x14ac:dyDescent="0.25">
      <c r="A103" s="12" t="s">
        <v>7</v>
      </c>
      <c r="B103" s="13" t="s">
        <v>112</v>
      </c>
      <c r="C103" s="13"/>
      <c r="D103" s="84"/>
      <c r="E103" s="27"/>
      <c r="F103" s="85"/>
      <c r="G103" s="85"/>
      <c r="H103" s="85"/>
    </row>
    <row r="104" spans="1:10" ht="15.75" x14ac:dyDescent="0.25">
      <c r="A104" s="12" t="s">
        <v>9</v>
      </c>
      <c r="B104" s="13" t="s">
        <v>113</v>
      </c>
      <c r="C104" s="13"/>
      <c r="D104" s="84"/>
      <c r="E104" s="27"/>
      <c r="F104" s="85"/>
      <c r="G104" s="85"/>
      <c r="H104" s="85">
        <v>5.21</v>
      </c>
    </row>
    <row r="105" spans="1:10" ht="15.75" x14ac:dyDescent="0.25">
      <c r="A105" s="12" t="s">
        <v>17</v>
      </c>
      <c r="B105" s="13" t="s">
        <v>164</v>
      </c>
      <c r="C105" s="13"/>
      <c r="D105" s="84"/>
      <c r="E105" s="27"/>
      <c r="F105" s="85"/>
      <c r="G105" s="85"/>
      <c r="H105" s="85">
        <v>37.75</v>
      </c>
    </row>
    <row r="106" spans="1:10" ht="15.75" x14ac:dyDescent="0.25">
      <c r="A106" s="12" t="s">
        <v>40</v>
      </c>
      <c r="B106" s="13" t="s">
        <v>101</v>
      </c>
      <c r="C106" s="13"/>
      <c r="D106" s="84"/>
      <c r="E106" s="27"/>
      <c r="F106" s="85"/>
      <c r="G106" s="85"/>
      <c r="H106" s="85">
        <v>0</v>
      </c>
    </row>
    <row r="107" spans="1:10" ht="15.75" x14ac:dyDescent="0.25">
      <c r="A107" s="73"/>
      <c r="B107" s="55" t="s">
        <v>45</v>
      </c>
      <c r="C107" s="55"/>
      <c r="D107" s="41"/>
      <c r="E107" s="41"/>
      <c r="F107" s="74"/>
      <c r="G107" s="57"/>
      <c r="H107" s="58">
        <f>SUM(H102:H106)</f>
        <v>66.56</v>
      </c>
    </row>
    <row r="108" spans="1:10" ht="15.75" x14ac:dyDescent="0.25">
      <c r="A108" s="83">
        <v>6</v>
      </c>
      <c r="B108" s="269" t="s">
        <v>114</v>
      </c>
      <c r="C108" s="269"/>
      <c r="D108" s="269"/>
      <c r="E108" s="269"/>
      <c r="F108" s="269"/>
      <c r="G108" s="269"/>
      <c r="H108" s="269"/>
    </row>
    <row r="109" spans="1:10" ht="15.75" x14ac:dyDescent="0.25">
      <c r="A109" s="86" t="s">
        <v>4</v>
      </c>
      <c r="B109" s="27"/>
      <c r="C109" s="27"/>
      <c r="D109" s="27"/>
      <c r="E109" s="27"/>
      <c r="F109" s="27" t="s">
        <v>115</v>
      </c>
      <c r="G109" s="52">
        <v>0.01</v>
      </c>
      <c r="H109" s="28">
        <f>G109*H124</f>
        <v>22.327253339909998</v>
      </c>
    </row>
    <row r="110" spans="1:10" ht="15.75" x14ac:dyDescent="0.25">
      <c r="A110" s="86" t="s">
        <v>7</v>
      </c>
      <c r="B110" s="27"/>
      <c r="C110" s="27"/>
      <c r="D110" s="27"/>
      <c r="E110" s="27"/>
      <c r="F110" s="12" t="s">
        <v>116</v>
      </c>
      <c r="G110" s="52">
        <v>0.01</v>
      </c>
      <c r="H110" s="28">
        <f>(H109+H124)*$G$110</f>
        <v>22.550525873309098</v>
      </c>
    </row>
    <row r="111" spans="1:10" ht="15.75" x14ac:dyDescent="0.25">
      <c r="A111" s="86" t="s">
        <v>9</v>
      </c>
      <c r="B111" s="27"/>
      <c r="C111" s="27"/>
      <c r="D111" s="27"/>
      <c r="E111" s="27"/>
      <c r="F111" s="12" t="s">
        <v>117</v>
      </c>
      <c r="G111" s="87">
        <f>SUM(G112:G116)</f>
        <v>8.6499999999999994E-2</v>
      </c>
      <c r="H111" s="28">
        <f>H113+H114+H116</f>
        <v>215.66794667998352</v>
      </c>
    </row>
    <row r="112" spans="1:10" ht="15.75" x14ac:dyDescent="0.25">
      <c r="A112" s="86" t="s">
        <v>118</v>
      </c>
      <c r="B112" s="27"/>
      <c r="C112" s="27"/>
      <c r="D112" s="27"/>
      <c r="E112" s="27"/>
      <c r="F112" s="88" t="s">
        <v>119</v>
      </c>
      <c r="G112" s="45">
        <v>0</v>
      </c>
      <c r="H112" s="28">
        <f>SUM(H$126*$G$112)</f>
        <v>0</v>
      </c>
      <c r="J112" s="120"/>
    </row>
    <row r="113" spans="1:9" ht="15.75" x14ac:dyDescent="0.25">
      <c r="A113" s="86" t="s">
        <v>120</v>
      </c>
      <c r="B113" s="27"/>
      <c r="C113" s="27"/>
      <c r="D113" s="27"/>
      <c r="E113" s="27"/>
      <c r="F113" s="88" t="s">
        <v>121</v>
      </c>
      <c r="G113" s="52">
        <v>6.4999999999999997E-3</v>
      </c>
      <c r="H113" s="28">
        <f>((H109+H110+H124)/0.9135)*G113</f>
        <v>16.206261889247315</v>
      </c>
    </row>
    <row r="114" spans="1:9" ht="15.75" x14ac:dyDescent="0.25">
      <c r="A114" s="86" t="s">
        <v>122</v>
      </c>
      <c r="B114" s="27"/>
      <c r="C114" s="27"/>
      <c r="D114" s="27"/>
      <c r="E114" s="27"/>
      <c r="F114" s="88" t="s">
        <v>123</v>
      </c>
      <c r="G114" s="52">
        <v>0.03</v>
      </c>
      <c r="H114" s="28">
        <f>((H109+H110+H124)/0.9135)*G114</f>
        <v>74.798131796526079</v>
      </c>
    </row>
    <row r="115" spans="1:9" ht="15.75" x14ac:dyDescent="0.25">
      <c r="A115" s="86" t="s">
        <v>124</v>
      </c>
      <c r="B115" s="27"/>
      <c r="C115" s="27"/>
      <c r="D115" s="27"/>
      <c r="E115" s="27"/>
      <c r="F115" s="88" t="s">
        <v>125</v>
      </c>
      <c r="G115" s="45">
        <v>0</v>
      </c>
      <c r="H115" s="28"/>
    </row>
    <row r="116" spans="1:9" ht="15.75" x14ac:dyDescent="0.25">
      <c r="A116" s="86" t="s">
        <v>126</v>
      </c>
      <c r="B116" s="27"/>
      <c r="C116" s="27"/>
      <c r="D116" s="27"/>
      <c r="E116" s="27"/>
      <c r="F116" s="88" t="s">
        <v>127</v>
      </c>
      <c r="G116" s="45">
        <v>0.05</v>
      </c>
      <c r="H116" s="28">
        <f>((H109+H110+H124)/0.9135)*G116</f>
        <v>124.66355299421014</v>
      </c>
    </row>
    <row r="117" spans="1:9" ht="15.75" x14ac:dyDescent="0.25">
      <c r="A117" s="73"/>
      <c r="B117" s="55" t="s">
        <v>45</v>
      </c>
      <c r="C117" s="55"/>
      <c r="D117" s="41"/>
      <c r="E117" s="41"/>
      <c r="F117" s="74"/>
      <c r="G117" s="57">
        <f>G111+G110+G109</f>
        <v>0.10649999999999998</v>
      </c>
      <c r="H117" s="58">
        <f>H109+H110+H111</f>
        <v>260.54572589320264</v>
      </c>
    </row>
    <row r="118" spans="1:9" ht="15.75" x14ac:dyDescent="0.25">
      <c r="A118" s="89"/>
      <c r="B118" s="267" t="s">
        <v>128</v>
      </c>
      <c r="C118" s="267"/>
      <c r="D118" s="267"/>
      <c r="E118" s="267"/>
      <c r="F118" s="267"/>
      <c r="G118" s="267"/>
      <c r="H118" s="267"/>
    </row>
    <row r="119" spans="1:9" ht="15.75" x14ac:dyDescent="0.25">
      <c r="A119" s="90" t="s">
        <v>4</v>
      </c>
      <c r="B119" s="27" t="s">
        <v>30</v>
      </c>
      <c r="C119" s="27"/>
      <c r="D119" s="27"/>
      <c r="E119" s="27"/>
      <c r="F119" s="28"/>
      <c r="G119" s="45">
        <f>SUM(H119/H$126)</f>
        <v>0.45486831265457056</v>
      </c>
      <c r="H119" s="28">
        <f>H38</f>
        <v>1134.1099999999999</v>
      </c>
    </row>
    <row r="120" spans="1:9" ht="15.75" x14ac:dyDescent="0.25">
      <c r="A120" s="90" t="s">
        <v>7</v>
      </c>
      <c r="B120" s="27" t="s">
        <v>129</v>
      </c>
      <c r="C120" s="27"/>
      <c r="D120" s="27"/>
      <c r="E120" s="27"/>
      <c r="F120" s="28"/>
      <c r="G120" s="45">
        <f>SUM(H120/H$126)</f>
        <v>0.38264201595004638</v>
      </c>
      <c r="H120" s="28">
        <f>H72</f>
        <v>954.03026466400001</v>
      </c>
    </row>
    <row r="121" spans="1:9" ht="15.75" x14ac:dyDescent="0.25">
      <c r="A121" s="90" t="s">
        <v>9</v>
      </c>
      <c r="B121" s="27" t="s">
        <v>130</v>
      </c>
      <c r="C121" s="27"/>
      <c r="D121" s="27"/>
      <c r="E121" s="27"/>
      <c r="F121" s="28"/>
      <c r="G121" s="45">
        <f>SUM(H121/H$126)</f>
        <v>1.4272858913965321E-2</v>
      </c>
      <c r="H121" s="28">
        <f>H80</f>
        <v>35.586106072</v>
      </c>
      <c r="I121" s="115">
        <f>H109+H110+H124</f>
        <v>2277.603113204219</v>
      </c>
    </row>
    <row r="122" spans="1:9" ht="15.75" x14ac:dyDescent="0.25">
      <c r="A122" s="90" t="s">
        <v>17</v>
      </c>
      <c r="B122" s="27" t="s">
        <v>131</v>
      </c>
      <c r="C122" s="27"/>
      <c r="D122" s="27"/>
      <c r="E122" s="27"/>
      <c r="F122" s="28"/>
      <c r="G122" s="45">
        <f>SUM(H122/H$126)</f>
        <v>1.7021399693690358E-2</v>
      </c>
      <c r="H122" s="28">
        <f>H100</f>
        <v>42.438963254999997</v>
      </c>
      <c r="I122" s="115">
        <f>I121/0.9135</f>
        <v>2493.2710598842027</v>
      </c>
    </row>
    <row r="123" spans="1:9" ht="15.75" x14ac:dyDescent="0.25">
      <c r="A123" s="90" t="s">
        <v>40</v>
      </c>
      <c r="B123" s="27" t="s">
        <v>110</v>
      </c>
      <c r="C123" s="27"/>
      <c r="D123" s="27"/>
      <c r="E123" s="27"/>
      <c r="F123" s="28"/>
      <c r="G123" s="45">
        <f>H123/H126</f>
        <v>2.6695853920949662E-2</v>
      </c>
      <c r="H123" s="28">
        <f>H107</f>
        <v>66.56</v>
      </c>
    </row>
    <row r="124" spans="1:9" ht="15.75" x14ac:dyDescent="0.25">
      <c r="A124" s="90"/>
      <c r="B124" s="27" t="s">
        <v>132</v>
      </c>
      <c r="C124" s="27"/>
      <c r="D124" s="27"/>
      <c r="E124" s="27"/>
      <c r="F124" s="28"/>
      <c r="G124" s="45">
        <f>SUM(G119:G123)</f>
        <v>0.89550044113322225</v>
      </c>
      <c r="H124" s="28">
        <f>SUM(H119:H123)</f>
        <v>2232.7253339909998</v>
      </c>
    </row>
    <row r="125" spans="1:9" ht="15.75" x14ac:dyDescent="0.25">
      <c r="A125" s="90" t="s">
        <v>40</v>
      </c>
      <c r="B125" s="27" t="s">
        <v>133</v>
      </c>
      <c r="C125" s="27"/>
      <c r="D125" s="27"/>
      <c r="E125" s="27"/>
      <c r="F125" s="28"/>
      <c r="G125" s="45">
        <f>SUM(H125/H$126)</f>
        <v>0.10449955886677779</v>
      </c>
      <c r="H125" s="28">
        <f>H117</f>
        <v>260.54572589320264</v>
      </c>
    </row>
    <row r="126" spans="1:9" ht="15.75" x14ac:dyDescent="0.25">
      <c r="A126" s="55"/>
      <c r="B126" s="55" t="s">
        <v>134</v>
      </c>
      <c r="C126" s="55"/>
      <c r="D126" s="55"/>
      <c r="E126" s="55"/>
      <c r="F126" s="55"/>
      <c r="G126" s="55">
        <f>SUM(G124+G125)</f>
        <v>1</v>
      </c>
      <c r="H126" s="91">
        <f>H125+H124</f>
        <v>2493.2710598842023</v>
      </c>
    </row>
    <row r="127" spans="1:9" ht="15.75" x14ac:dyDescent="0.25">
      <c r="A127" s="92"/>
      <c r="B127" s="267" t="s">
        <v>135</v>
      </c>
      <c r="C127" s="267"/>
      <c r="D127" s="267"/>
      <c r="E127" s="267"/>
      <c r="F127" s="267"/>
      <c r="G127" s="267"/>
      <c r="H127" s="267"/>
    </row>
    <row r="128" spans="1:9" ht="47.25" x14ac:dyDescent="0.25">
      <c r="A128" s="27"/>
      <c r="B128" s="16" t="s">
        <v>20</v>
      </c>
      <c r="C128" s="16"/>
      <c r="D128" s="93" t="s">
        <v>136</v>
      </c>
      <c r="E128" s="93" t="s">
        <v>137</v>
      </c>
      <c r="F128" s="94" t="s">
        <v>138</v>
      </c>
      <c r="G128" s="93" t="s">
        <v>139</v>
      </c>
      <c r="H128" s="95" t="s">
        <v>140</v>
      </c>
    </row>
    <row r="129" spans="1:8" ht="15.75" x14ac:dyDescent="0.25">
      <c r="A129" s="27"/>
      <c r="B129" s="3" t="s">
        <v>141</v>
      </c>
      <c r="C129" s="3"/>
      <c r="D129" s="3" t="s">
        <v>142</v>
      </c>
      <c r="E129" s="96" t="s">
        <v>143</v>
      </c>
      <c r="F129" s="97" t="s">
        <v>144</v>
      </c>
      <c r="G129" s="3" t="s">
        <v>145</v>
      </c>
      <c r="H129" s="98" t="s">
        <v>146</v>
      </c>
    </row>
    <row r="130" spans="1:8" ht="15.75" x14ac:dyDescent="0.25">
      <c r="A130" s="1"/>
      <c r="B130" s="14"/>
      <c r="C130" s="14"/>
      <c r="D130" s="99">
        <f>SUM(H126)</f>
        <v>2493.2710598842023</v>
      </c>
      <c r="E130" s="100">
        <v>1</v>
      </c>
      <c r="F130" s="99">
        <f>D130*E130</f>
        <v>2493.2710598842023</v>
      </c>
      <c r="G130" s="101">
        <v>1</v>
      </c>
      <c r="H130" s="28">
        <f>E130*D130</f>
        <v>2493.2710598842023</v>
      </c>
    </row>
    <row r="131" spans="1:8" ht="15.75" x14ac:dyDescent="0.25">
      <c r="A131" s="27"/>
      <c r="B131" s="102" t="s">
        <v>147</v>
      </c>
      <c r="C131" s="102"/>
      <c r="D131" s="103"/>
      <c r="E131" s="103"/>
      <c r="F131" s="103"/>
      <c r="G131" s="103"/>
      <c r="H131" s="104">
        <f>SUM(H130)</f>
        <v>2493.2710598842023</v>
      </c>
    </row>
    <row r="132" spans="1:8" ht="15.75" x14ac:dyDescent="0.25">
      <c r="A132" s="27"/>
      <c r="B132" s="16"/>
      <c r="C132" s="16"/>
      <c r="D132" s="105"/>
      <c r="E132" s="16"/>
      <c r="F132" s="16"/>
      <c r="G132" s="16"/>
      <c r="H132" s="16"/>
    </row>
    <row r="133" spans="1:8" ht="15.75" x14ac:dyDescent="0.25">
      <c r="A133" s="83"/>
      <c r="B133" s="267" t="s">
        <v>148</v>
      </c>
      <c r="C133" s="267"/>
      <c r="D133" s="267"/>
      <c r="E133" s="267"/>
      <c r="F133" s="267"/>
      <c r="G133" s="267"/>
      <c r="H133" s="267"/>
    </row>
    <row r="134" spans="1:8" ht="15.75" x14ac:dyDescent="0.25">
      <c r="A134" s="106"/>
      <c r="B134" s="106" t="s">
        <v>149</v>
      </c>
      <c r="C134" s="106"/>
      <c r="D134" s="106"/>
      <c r="E134" s="16"/>
      <c r="F134" s="16"/>
      <c r="G134" s="16"/>
      <c r="H134" s="107" t="s">
        <v>150</v>
      </c>
    </row>
    <row r="135" spans="1:8" ht="15.75" x14ac:dyDescent="0.25">
      <c r="A135" s="108" t="s">
        <v>4</v>
      </c>
      <c r="B135" s="109" t="s">
        <v>151</v>
      </c>
      <c r="C135" s="109"/>
      <c r="D135" s="109"/>
      <c r="E135" s="13"/>
      <c r="F135" s="13"/>
      <c r="G135" s="13"/>
      <c r="H135" s="107">
        <f>D130</f>
        <v>2493.2710598842023</v>
      </c>
    </row>
    <row r="136" spans="1:8" ht="15.75" x14ac:dyDescent="0.25">
      <c r="A136" s="108" t="s">
        <v>7</v>
      </c>
      <c r="B136" s="109" t="s">
        <v>152</v>
      </c>
      <c r="C136" s="109"/>
      <c r="D136" s="109"/>
      <c r="E136" s="13"/>
      <c r="F136" s="13"/>
      <c r="G136" s="13"/>
      <c r="H136" s="107">
        <f>H131</f>
        <v>2493.2710598842023</v>
      </c>
    </row>
    <row r="137" spans="1:8" ht="15.75" x14ac:dyDescent="0.25">
      <c r="A137" s="108" t="s">
        <v>17</v>
      </c>
      <c r="B137" s="7" t="s">
        <v>153</v>
      </c>
      <c r="C137" s="7"/>
      <c r="D137" s="109"/>
      <c r="E137" s="13"/>
      <c r="F137" s="13"/>
      <c r="G137" s="100">
        <v>12</v>
      </c>
      <c r="H137" s="107">
        <f>SUM(H136*G137)</f>
        <v>29919.252718610427</v>
      </c>
    </row>
    <row r="138" spans="1:8" ht="15.75" x14ac:dyDescent="0.25">
      <c r="A138" s="6"/>
      <c r="B138" s="6"/>
      <c r="C138" s="6"/>
      <c r="D138" s="6"/>
      <c r="E138" s="6"/>
      <c r="F138" s="6"/>
      <c r="G138" s="6"/>
      <c r="H138" s="6"/>
    </row>
    <row r="140" spans="1:8" x14ac:dyDescent="0.25">
      <c r="A140" s="149" t="s">
        <v>204</v>
      </c>
      <c r="B140" s="149"/>
    </row>
    <row r="141" spans="1:8" x14ac:dyDescent="0.25">
      <c r="A141" s="149" t="s">
        <v>205</v>
      </c>
      <c r="B141" s="149"/>
    </row>
    <row r="142" spans="1:8" x14ac:dyDescent="0.25">
      <c r="A142" s="149" t="s">
        <v>206</v>
      </c>
      <c r="B142" s="149"/>
    </row>
    <row r="143" spans="1:8" x14ac:dyDescent="0.25">
      <c r="A143" s="149"/>
      <c r="B143" s="149"/>
    </row>
    <row r="144" spans="1:8" x14ac:dyDescent="0.25">
      <c r="A144" s="149" t="s">
        <v>207</v>
      </c>
      <c r="B144" s="149"/>
    </row>
    <row r="146" spans="1:6" x14ac:dyDescent="0.25">
      <c r="A146" t="s">
        <v>208</v>
      </c>
    </row>
    <row r="147" spans="1:6" x14ac:dyDescent="0.25">
      <c r="A147" s="149" t="s">
        <v>209</v>
      </c>
    </row>
    <row r="148" spans="1:6" x14ac:dyDescent="0.25">
      <c r="A148" s="149" t="s">
        <v>210</v>
      </c>
    </row>
    <row r="149" spans="1:6" x14ac:dyDescent="0.25">
      <c r="A149" s="149"/>
    </row>
    <row r="150" spans="1:6" x14ac:dyDescent="0.25">
      <c r="A150" s="149" t="s">
        <v>211</v>
      </c>
    </row>
    <row r="151" spans="1:6" x14ac:dyDescent="0.25">
      <c r="A151" s="149"/>
    </row>
    <row r="152" spans="1:6" x14ac:dyDescent="0.25">
      <c r="A152" s="149" t="s">
        <v>212</v>
      </c>
    </row>
    <row r="153" spans="1:6" x14ac:dyDescent="0.25">
      <c r="A153" s="149" t="s">
        <v>213</v>
      </c>
    </row>
    <row r="154" spans="1:6" x14ac:dyDescent="0.25">
      <c r="A154" s="149"/>
    </row>
    <row r="155" spans="1:6" x14ac:dyDescent="0.25">
      <c r="A155" s="149" t="s">
        <v>207</v>
      </c>
    </row>
    <row r="156" spans="1:6" x14ac:dyDescent="0.25">
      <c r="A156" s="149" t="s">
        <v>223</v>
      </c>
    </row>
    <row r="157" spans="1:6" x14ac:dyDescent="0.25">
      <c r="B157" s="150" t="s">
        <v>214</v>
      </c>
      <c r="C157" s="151"/>
      <c r="D157" s="151"/>
      <c r="E157" s="151"/>
      <c r="F157" s="151"/>
    </row>
    <row r="158" spans="1:6" x14ac:dyDescent="0.25">
      <c r="B158" s="150"/>
      <c r="C158" s="151"/>
      <c r="D158" s="151"/>
      <c r="E158" s="151"/>
      <c r="F158" s="151"/>
    </row>
    <row r="159" spans="1:6" x14ac:dyDescent="0.25">
      <c r="B159" s="150" t="s">
        <v>215</v>
      </c>
      <c r="C159" s="151" t="s">
        <v>216</v>
      </c>
      <c r="D159" s="151" t="s">
        <v>217</v>
      </c>
      <c r="E159" s="151" t="s">
        <v>218</v>
      </c>
      <c r="F159" s="151" t="s">
        <v>219</v>
      </c>
    </row>
    <row r="160" spans="1:6" x14ac:dyDescent="0.25">
      <c r="B160" s="150" t="s">
        <v>220</v>
      </c>
      <c r="C160" s="152">
        <v>1.6500000000000001E-2</v>
      </c>
      <c r="D160" s="152">
        <v>7.5999999999999998E-2</v>
      </c>
      <c r="E160" s="153">
        <v>0.05</v>
      </c>
      <c r="F160" s="151">
        <v>0.85750000000000004</v>
      </c>
    </row>
    <row r="161" spans="1:6" x14ac:dyDescent="0.25">
      <c r="B161" s="150" t="s">
        <v>221</v>
      </c>
      <c r="C161" s="152">
        <v>6.4999999999999997E-3</v>
      </c>
      <c r="D161" s="153">
        <v>0.03</v>
      </c>
      <c r="E161" s="153">
        <v>0.05</v>
      </c>
      <c r="F161" s="151">
        <v>0.91349999999999998</v>
      </c>
    </row>
    <row r="162" spans="1:6" x14ac:dyDescent="0.25">
      <c r="B162" s="150" t="s">
        <v>222</v>
      </c>
      <c r="C162" s="152">
        <v>4.4000000000000003E-3</v>
      </c>
      <c r="D162" s="152">
        <v>2.35E-2</v>
      </c>
      <c r="E162" s="153">
        <v>0.05</v>
      </c>
      <c r="F162" s="151">
        <v>0.92210000000000003</v>
      </c>
    </row>
    <row r="164" spans="1:6" x14ac:dyDescent="0.25">
      <c r="A164" s="155" t="s">
        <v>225</v>
      </c>
    </row>
  </sheetData>
  <mergeCells count="51">
    <mergeCell ref="B118:H118"/>
    <mergeCell ref="B127:H127"/>
    <mergeCell ref="B133:H133"/>
    <mergeCell ref="C84:C89"/>
    <mergeCell ref="E84:E89"/>
    <mergeCell ref="B93:H93"/>
    <mergeCell ref="A97:H97"/>
    <mergeCell ref="B101:H101"/>
    <mergeCell ref="B108:H108"/>
    <mergeCell ref="B82:H82"/>
    <mergeCell ref="A60:A62"/>
    <mergeCell ref="D60:D61"/>
    <mergeCell ref="E60:E61"/>
    <mergeCell ref="F60:F61"/>
    <mergeCell ref="G60:G61"/>
    <mergeCell ref="B62:E62"/>
    <mergeCell ref="B63:E63"/>
    <mergeCell ref="B67:E67"/>
    <mergeCell ref="A68:H68"/>
    <mergeCell ref="B73:H73"/>
    <mergeCell ref="B81:H81"/>
    <mergeCell ref="B55:H55"/>
    <mergeCell ref="A57:A59"/>
    <mergeCell ref="D57:D58"/>
    <mergeCell ref="E57:E58"/>
    <mergeCell ref="F57:F58"/>
    <mergeCell ref="G57:G58"/>
    <mergeCell ref="D47:E48"/>
    <mergeCell ref="E18:H18"/>
    <mergeCell ref="B19:H19"/>
    <mergeCell ref="A20:H20"/>
    <mergeCell ref="D21:H21"/>
    <mergeCell ref="D22:H22"/>
    <mergeCell ref="D24:H24"/>
    <mergeCell ref="D25:H25"/>
    <mergeCell ref="B26:H26"/>
    <mergeCell ref="B39:H39"/>
    <mergeCell ref="B40:H40"/>
    <mergeCell ref="B45:H45"/>
    <mergeCell ref="E17:H17"/>
    <mergeCell ref="A3:H3"/>
    <mergeCell ref="E4:H6"/>
    <mergeCell ref="A7:D7"/>
    <mergeCell ref="A8:H8"/>
    <mergeCell ref="D9:H9"/>
    <mergeCell ref="D10:H10"/>
    <mergeCell ref="D11:H11"/>
    <mergeCell ref="D12:H12"/>
    <mergeCell ref="A14:H14"/>
    <mergeCell ref="E15:H15"/>
    <mergeCell ref="E16:H16"/>
  </mergeCells>
  <dataValidations count="4">
    <dataValidation type="list" operator="equal" allowBlank="1" showErrorMessage="1" promptTitle="Percentual" sqref="E31">
      <formula1>$K$28:$K$31</formula1>
      <formula2>0</formula2>
    </dataValidation>
    <dataValidation type="list" operator="equal" allowBlank="1" showErrorMessage="1" sqref="D31">
      <formula1>$J$28:$J$31</formula1>
      <formula2>0</formula2>
    </dataValidation>
    <dataValidation type="list" operator="equal" allowBlank="1" showErrorMessage="1" sqref="E28">
      <formula1>$K$33:$K$34</formula1>
      <formula2>0</formula2>
    </dataValidation>
    <dataValidation type="list" operator="equal" allowBlank="1" showErrorMessage="1" sqref="D28">
      <formula1>$J$33:$J$34</formula1>
      <formula2>0</formula2>
    </dataValidation>
  </dataValidations>
  <pageMargins left="0.7" right="0.7" top="0.75" bottom="0.75" header="0.3" footer="0.3"/>
  <pageSetup scale="45" orientation="portrait" r:id="rId1"/>
  <drawing r:id="rId2"/>
  <legacyDrawing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64"/>
  <sheetViews>
    <sheetView topLeftCell="A128" zoomScale="70" zoomScaleNormal="70" workbookViewId="0">
      <selection activeCell="H85" sqref="H85"/>
    </sheetView>
  </sheetViews>
  <sheetFormatPr defaultRowHeight="15" x14ac:dyDescent="0.25"/>
  <cols>
    <col min="1" max="1" width="4.85546875" bestFit="1" customWidth="1"/>
    <col min="2" max="2" width="54.85546875" customWidth="1"/>
    <col min="3" max="3" width="11.5703125" customWidth="1"/>
    <col min="4" max="4" width="34" customWidth="1"/>
    <col min="5" max="5" width="18" customWidth="1"/>
    <col min="6" max="6" width="25.28515625" bestFit="1" customWidth="1"/>
    <col min="7" max="7" width="11.5703125" bestFit="1" customWidth="1"/>
    <col min="8" max="8" width="27.5703125" bestFit="1" customWidth="1"/>
    <col min="9" max="9" width="20.7109375" customWidth="1"/>
    <col min="10" max="10" width="11" bestFit="1" customWidth="1"/>
  </cols>
  <sheetData>
    <row r="1" spans="1:8" x14ac:dyDescent="0.25">
      <c r="A1" s="1"/>
      <c r="B1" s="1"/>
      <c r="C1" s="1"/>
      <c r="D1" s="1"/>
      <c r="E1" s="1"/>
      <c r="F1" s="1"/>
      <c r="G1" s="1"/>
      <c r="H1" s="2"/>
    </row>
    <row r="2" spans="1:8" ht="15.75" x14ac:dyDescent="0.25">
      <c r="A2" s="3"/>
      <c r="B2" s="3" t="s">
        <v>0</v>
      </c>
      <c r="C2" s="3"/>
      <c r="D2" s="4" t="s">
        <v>1</v>
      </c>
      <c r="E2" s="3"/>
      <c r="F2" s="3" t="s">
        <v>2</v>
      </c>
      <c r="G2" s="3"/>
      <c r="H2" s="5" t="s">
        <v>156</v>
      </c>
    </row>
    <row r="3" spans="1:8" ht="15.75" x14ac:dyDescent="0.25">
      <c r="A3" s="269" t="s">
        <v>3</v>
      </c>
      <c r="B3" s="269"/>
      <c r="C3" s="269"/>
      <c r="D3" s="269"/>
      <c r="E3" s="269"/>
      <c r="F3" s="269"/>
      <c r="G3" s="269"/>
      <c r="H3" s="269"/>
    </row>
    <row r="4" spans="1:8" ht="15.75" x14ac:dyDescent="0.25">
      <c r="A4" s="6" t="s">
        <v>4</v>
      </c>
      <c r="B4" s="7" t="s">
        <v>5</v>
      </c>
      <c r="C4" s="7"/>
      <c r="D4" s="8"/>
      <c r="E4" s="287" t="s">
        <v>6</v>
      </c>
      <c r="F4" s="287"/>
      <c r="G4" s="287"/>
      <c r="H4" s="287"/>
    </row>
    <row r="5" spans="1:8" ht="15.75" x14ac:dyDescent="0.25">
      <c r="A5" s="6" t="s">
        <v>7</v>
      </c>
      <c r="B5" s="7" t="s">
        <v>8</v>
      </c>
      <c r="C5" s="7"/>
      <c r="D5" s="9"/>
      <c r="E5" s="287"/>
      <c r="F5" s="287"/>
      <c r="G5" s="287"/>
      <c r="H5" s="287"/>
    </row>
    <row r="6" spans="1:8" ht="15.75" x14ac:dyDescent="0.25">
      <c r="A6" s="6" t="s">
        <v>9</v>
      </c>
      <c r="B6" s="7" t="s">
        <v>10</v>
      </c>
      <c r="C6" s="7"/>
      <c r="D6" s="10" t="s">
        <v>11</v>
      </c>
      <c r="E6" s="287"/>
      <c r="F6" s="287"/>
      <c r="G6" s="287"/>
      <c r="H6" s="287"/>
    </row>
    <row r="7" spans="1:8" ht="15.75" x14ac:dyDescent="0.25">
      <c r="A7" s="288"/>
      <c r="B7" s="288"/>
      <c r="C7" s="288"/>
      <c r="D7" s="288"/>
      <c r="E7" s="11"/>
      <c r="F7" s="11"/>
      <c r="G7" s="11"/>
      <c r="H7" s="11"/>
    </row>
    <row r="8" spans="1:8" ht="15.75" x14ac:dyDescent="0.25">
      <c r="A8" s="269" t="s">
        <v>12</v>
      </c>
      <c r="B8" s="269"/>
      <c r="C8" s="269"/>
      <c r="D8" s="269"/>
      <c r="E8" s="269"/>
      <c r="F8" s="269"/>
      <c r="G8" s="269"/>
      <c r="H8" s="269"/>
    </row>
    <row r="9" spans="1:8" x14ac:dyDescent="0.25">
      <c r="A9" s="12" t="s">
        <v>4</v>
      </c>
      <c r="B9" s="13" t="s">
        <v>13</v>
      </c>
      <c r="C9" s="13"/>
      <c r="D9" s="281" t="s">
        <v>14</v>
      </c>
      <c r="E9" s="281"/>
      <c r="F9" s="281"/>
      <c r="G9" s="281"/>
      <c r="H9" s="281"/>
    </row>
    <row r="10" spans="1:8" x14ac:dyDescent="0.25">
      <c r="A10" s="12" t="s">
        <v>7</v>
      </c>
      <c r="B10" s="13" t="s">
        <v>15</v>
      </c>
      <c r="C10" s="13"/>
      <c r="D10" s="289" t="s">
        <v>184</v>
      </c>
      <c r="E10" s="289"/>
      <c r="F10" s="289"/>
      <c r="G10" s="289"/>
      <c r="H10" s="289"/>
    </row>
    <row r="11" spans="1:8" x14ac:dyDescent="0.25">
      <c r="A11" s="12" t="s">
        <v>9</v>
      </c>
      <c r="B11" s="13" t="s">
        <v>16</v>
      </c>
      <c r="C11" s="13"/>
      <c r="D11" s="289" t="s">
        <v>174</v>
      </c>
      <c r="E11" s="289"/>
      <c r="F11" s="289"/>
      <c r="G11" s="289"/>
      <c r="H11" s="289"/>
    </row>
    <row r="12" spans="1:8" x14ac:dyDescent="0.25">
      <c r="A12" s="12" t="s">
        <v>17</v>
      </c>
      <c r="B12" s="13" t="s">
        <v>18</v>
      </c>
      <c r="C12" s="13"/>
      <c r="D12" s="289">
        <v>12</v>
      </c>
      <c r="E12" s="289"/>
      <c r="F12" s="289"/>
      <c r="G12" s="289"/>
      <c r="H12" s="289"/>
    </row>
    <row r="13" spans="1:8" x14ac:dyDescent="0.25">
      <c r="A13" s="12"/>
      <c r="B13" s="13"/>
      <c r="C13" s="13"/>
      <c r="D13" s="14"/>
      <c r="E13" s="14"/>
      <c r="F13" s="14"/>
      <c r="G13" s="14"/>
      <c r="H13" s="15"/>
    </row>
    <row r="14" spans="1:8" ht="15.75" x14ac:dyDescent="0.25">
      <c r="A14" s="269" t="s">
        <v>19</v>
      </c>
      <c r="B14" s="269"/>
      <c r="C14" s="269"/>
      <c r="D14" s="269"/>
      <c r="E14" s="269"/>
      <c r="F14" s="269"/>
      <c r="G14" s="269"/>
      <c r="H14" s="269"/>
    </row>
    <row r="15" spans="1:8" ht="15.75" x14ac:dyDescent="0.25">
      <c r="A15" s="12"/>
      <c r="B15" s="16" t="s">
        <v>20</v>
      </c>
      <c r="C15" s="16"/>
      <c r="D15" s="17" t="s">
        <v>21</v>
      </c>
      <c r="E15" s="290" t="s">
        <v>22</v>
      </c>
      <c r="F15" s="290"/>
      <c r="G15" s="290"/>
      <c r="H15" s="290"/>
    </row>
    <row r="16" spans="1:8" x14ac:dyDescent="0.25">
      <c r="A16" s="12" t="s">
        <v>4</v>
      </c>
      <c r="B16" s="18" t="s">
        <v>180</v>
      </c>
      <c r="C16" s="19"/>
      <c r="D16" s="20" t="s">
        <v>23</v>
      </c>
      <c r="E16" s="291">
        <v>1</v>
      </c>
      <c r="F16" s="291"/>
      <c r="G16" s="291"/>
      <c r="H16" s="291"/>
    </row>
    <row r="17" spans="1:9" x14ac:dyDescent="0.25">
      <c r="A17" s="12" t="s">
        <v>7</v>
      </c>
      <c r="B17" s="13"/>
      <c r="C17" s="13"/>
      <c r="D17" s="21"/>
      <c r="E17" s="279"/>
      <c r="F17" s="279"/>
      <c r="G17" s="279"/>
      <c r="H17" s="279"/>
    </row>
    <row r="18" spans="1:9" x14ac:dyDescent="0.25">
      <c r="A18" s="12" t="s">
        <v>9</v>
      </c>
      <c r="B18" s="13"/>
      <c r="C18" s="13"/>
      <c r="D18" s="21"/>
      <c r="E18" s="279"/>
      <c r="F18" s="279"/>
      <c r="G18" s="279"/>
      <c r="H18" s="279"/>
    </row>
    <row r="19" spans="1:9" ht="15.75" x14ac:dyDescent="0.25">
      <c r="A19" s="110"/>
      <c r="B19" s="269" t="s">
        <v>24</v>
      </c>
      <c r="C19" s="269"/>
      <c r="D19" s="269"/>
      <c r="E19" s="269"/>
      <c r="F19" s="269"/>
      <c r="G19" s="269"/>
      <c r="H19" s="269"/>
    </row>
    <row r="20" spans="1:9" ht="15.75" x14ac:dyDescent="0.25">
      <c r="A20" s="280" t="s">
        <v>25</v>
      </c>
      <c r="B20" s="280"/>
      <c r="C20" s="280"/>
      <c r="D20" s="280"/>
      <c r="E20" s="280"/>
      <c r="F20" s="280"/>
      <c r="G20" s="280"/>
      <c r="H20" s="280"/>
    </row>
    <row r="21" spans="1:9" x14ac:dyDescent="0.25">
      <c r="A21" s="12">
        <v>1</v>
      </c>
      <c r="B21" s="13" t="s">
        <v>20</v>
      </c>
      <c r="C21" s="13"/>
      <c r="D21" s="281" t="s">
        <v>183</v>
      </c>
      <c r="E21" s="281"/>
      <c r="F21" s="281"/>
      <c r="G21" s="281"/>
      <c r="H21" s="281"/>
    </row>
    <row r="22" spans="1:9" x14ac:dyDescent="0.25">
      <c r="A22" s="12">
        <v>2</v>
      </c>
      <c r="B22" s="13" t="s">
        <v>26</v>
      </c>
      <c r="C22" s="13"/>
      <c r="D22" s="282" t="s">
        <v>176</v>
      </c>
      <c r="E22" s="282"/>
      <c r="F22" s="282"/>
      <c r="G22" s="282"/>
      <c r="H22" s="282"/>
    </row>
    <row r="23" spans="1:9" x14ac:dyDescent="0.25">
      <c r="A23" s="12">
        <v>3</v>
      </c>
      <c r="B23" s="13" t="s">
        <v>27</v>
      </c>
      <c r="C23" s="13"/>
      <c r="D23" s="22">
        <v>1134.1099999999999</v>
      </c>
      <c r="E23" s="23"/>
      <c r="F23" s="23"/>
      <c r="G23" s="23"/>
      <c r="H23" s="23"/>
    </row>
    <row r="24" spans="1:9" ht="30" x14ac:dyDescent="0.25">
      <c r="A24" s="1">
        <v>4</v>
      </c>
      <c r="B24" s="24" t="s">
        <v>28</v>
      </c>
      <c r="C24" s="24"/>
      <c r="D24" s="283" t="s">
        <v>170</v>
      </c>
      <c r="E24" s="283"/>
      <c r="F24" s="283"/>
      <c r="G24" s="283"/>
      <c r="H24" s="283"/>
    </row>
    <row r="25" spans="1:9" x14ac:dyDescent="0.25">
      <c r="A25" s="1">
        <v>5</v>
      </c>
      <c r="B25" s="25" t="s">
        <v>29</v>
      </c>
      <c r="C25" s="25"/>
      <c r="D25" s="284" t="s">
        <v>171</v>
      </c>
      <c r="E25" s="284"/>
      <c r="F25" s="284"/>
      <c r="G25" s="284"/>
      <c r="H25" s="284"/>
    </row>
    <row r="26" spans="1:9" ht="15.75" x14ac:dyDescent="0.25">
      <c r="A26" s="26">
        <v>1</v>
      </c>
      <c r="B26" s="267" t="s">
        <v>30</v>
      </c>
      <c r="C26" s="267"/>
      <c r="D26" s="267"/>
      <c r="E26" s="267"/>
      <c r="F26" s="267"/>
      <c r="G26" s="267"/>
      <c r="H26" s="267"/>
    </row>
    <row r="27" spans="1:9" ht="15.75" x14ac:dyDescent="0.25">
      <c r="A27" s="1" t="s">
        <v>4</v>
      </c>
      <c r="B27" s="27" t="s">
        <v>31</v>
      </c>
      <c r="C27" s="27"/>
      <c r="D27" s="27"/>
      <c r="G27" s="28"/>
      <c r="H27" s="29">
        <v>1134.1099999999999</v>
      </c>
    </row>
    <row r="28" spans="1:9" ht="15.75" x14ac:dyDescent="0.25">
      <c r="A28" s="1" t="s">
        <v>7</v>
      </c>
      <c r="B28" s="6" t="s">
        <v>32</v>
      </c>
      <c r="C28" s="6"/>
      <c r="D28" s="30"/>
      <c r="E28" s="31">
        <v>0</v>
      </c>
      <c r="H28" s="32"/>
    </row>
    <row r="29" spans="1:9" ht="15.75" x14ac:dyDescent="0.25">
      <c r="A29" s="1" t="s">
        <v>9</v>
      </c>
      <c r="B29" s="6" t="s">
        <v>34</v>
      </c>
      <c r="C29" s="6"/>
      <c r="D29" s="33" t="s">
        <v>35</v>
      </c>
      <c r="E29" s="34" t="s">
        <v>36</v>
      </c>
      <c r="F29" s="33" t="s">
        <v>37</v>
      </c>
      <c r="G29" s="35"/>
      <c r="H29" s="32"/>
    </row>
    <row r="30" spans="1:9" ht="15.75" x14ac:dyDescent="0.25">
      <c r="A30" s="1" t="s">
        <v>17</v>
      </c>
      <c r="B30" s="6" t="s">
        <v>167</v>
      </c>
      <c r="C30" s="6"/>
      <c r="D30" s="33"/>
      <c r="E30" s="34"/>
      <c r="F30" s="33"/>
      <c r="G30" s="35"/>
      <c r="H30" s="32"/>
      <c r="I30">
        <v>40</v>
      </c>
    </row>
    <row r="31" spans="1:9" ht="15.75" x14ac:dyDescent="0.25">
      <c r="A31" s="1" t="s">
        <v>40</v>
      </c>
      <c r="B31" s="6" t="s">
        <v>38</v>
      </c>
      <c r="C31" s="6"/>
      <c r="D31" s="30" t="s">
        <v>39</v>
      </c>
      <c r="E31" s="36">
        <v>0</v>
      </c>
      <c r="F31" s="37">
        <v>954</v>
      </c>
      <c r="G31" s="27"/>
      <c r="H31" s="38"/>
      <c r="I31">
        <v>120</v>
      </c>
    </row>
    <row r="32" spans="1:9" ht="15.75" x14ac:dyDescent="0.25">
      <c r="A32" s="1" t="s">
        <v>42</v>
      </c>
      <c r="B32" s="6" t="s">
        <v>41</v>
      </c>
      <c r="C32" s="6"/>
      <c r="G32" s="35"/>
      <c r="H32" s="38"/>
    </row>
    <row r="33" spans="1:9" ht="15.75" x14ac:dyDescent="0.25">
      <c r="A33" s="1" t="s">
        <v>61</v>
      </c>
      <c r="B33" s="6" t="s">
        <v>159</v>
      </c>
      <c r="C33" s="6"/>
      <c r="G33" s="35"/>
      <c r="H33" s="38"/>
    </row>
    <row r="34" spans="1:9" ht="15.75" x14ac:dyDescent="0.25">
      <c r="A34" s="1" t="s">
        <v>43</v>
      </c>
      <c r="B34" s="6" t="s">
        <v>155</v>
      </c>
      <c r="C34" s="6"/>
      <c r="G34" s="35"/>
      <c r="H34" s="38"/>
    </row>
    <row r="35" spans="1:9" ht="15.75" x14ac:dyDescent="0.25">
      <c r="A35" s="1" t="s">
        <v>161</v>
      </c>
      <c r="B35" s="8" t="s">
        <v>160</v>
      </c>
      <c r="C35" s="8"/>
      <c r="G35" s="35"/>
      <c r="H35" s="38"/>
    </row>
    <row r="36" spans="1:9" ht="15.75" x14ac:dyDescent="0.25">
      <c r="A36" s="1" t="s">
        <v>165</v>
      </c>
      <c r="B36" s="8" t="s">
        <v>162</v>
      </c>
      <c r="C36" s="8"/>
      <c r="G36" s="35"/>
      <c r="H36" s="38"/>
    </row>
    <row r="37" spans="1:9" ht="15.75" x14ac:dyDescent="0.25">
      <c r="A37" s="1" t="s">
        <v>166</v>
      </c>
      <c r="B37" s="6" t="s">
        <v>44</v>
      </c>
      <c r="C37" s="6"/>
      <c r="D37" s="27"/>
      <c r="E37" s="27"/>
      <c r="F37" s="35"/>
      <c r="G37" s="35"/>
      <c r="H37" s="35">
        <v>0</v>
      </c>
    </row>
    <row r="38" spans="1:9" ht="15.75" x14ac:dyDescent="0.25">
      <c r="A38" s="39"/>
      <c r="B38" s="40" t="s">
        <v>45</v>
      </c>
      <c r="C38" s="40"/>
      <c r="D38" s="41"/>
      <c r="E38" s="41"/>
      <c r="F38" s="42"/>
      <c r="G38" s="42"/>
      <c r="H38" s="43">
        <f>SUM(H27:H37)</f>
        <v>1134.1099999999999</v>
      </c>
    </row>
    <row r="39" spans="1:9" ht="15.75" x14ac:dyDescent="0.25">
      <c r="A39" s="44">
        <v>2</v>
      </c>
      <c r="B39" s="285" t="s">
        <v>46</v>
      </c>
      <c r="C39" s="285"/>
      <c r="D39" s="285"/>
      <c r="E39" s="285"/>
      <c r="F39" s="285"/>
      <c r="G39" s="285"/>
      <c r="H39" s="285"/>
    </row>
    <row r="40" spans="1:9" ht="15.75" x14ac:dyDescent="0.25">
      <c r="A40" s="124" t="s">
        <v>47</v>
      </c>
      <c r="B40" s="286" t="s">
        <v>48</v>
      </c>
      <c r="C40" s="286"/>
      <c r="D40" s="286"/>
      <c r="E40" s="286"/>
      <c r="F40" s="286"/>
      <c r="G40" s="286"/>
      <c r="H40" s="286"/>
    </row>
    <row r="41" spans="1:9" ht="15.75" x14ac:dyDescent="0.25">
      <c r="A41" s="1" t="s">
        <v>4</v>
      </c>
      <c r="B41" s="8" t="s">
        <v>49</v>
      </c>
      <c r="C41" s="8"/>
      <c r="D41" s="8"/>
      <c r="E41" s="27"/>
      <c r="F41" s="28"/>
      <c r="G41" s="45">
        <v>8.3299999999999999E-2</v>
      </c>
      <c r="H41" s="28">
        <f>SUM($H$38*G41)</f>
        <v>94.471362999999997</v>
      </c>
    </row>
    <row r="42" spans="1:9" ht="15.75" x14ac:dyDescent="0.25">
      <c r="A42" s="1" t="s">
        <v>7</v>
      </c>
      <c r="B42" s="27" t="s">
        <v>50</v>
      </c>
      <c r="C42" s="27"/>
      <c r="D42" s="27"/>
      <c r="E42" s="27"/>
      <c r="F42" s="46"/>
      <c r="G42" s="47">
        <v>0.121</v>
      </c>
      <c r="H42" s="28">
        <f>SUM($H$38*G42)</f>
        <v>137.22730999999999</v>
      </c>
    </row>
    <row r="43" spans="1:9" ht="15.75" x14ac:dyDescent="0.25">
      <c r="A43" s="1" t="s">
        <v>9</v>
      </c>
      <c r="B43" s="48" t="s">
        <v>51</v>
      </c>
      <c r="C43" s="48"/>
      <c r="D43" s="27"/>
      <c r="E43" s="27"/>
      <c r="F43" s="46"/>
      <c r="G43" s="47">
        <f>G42+G41*G54</f>
        <v>0.15165439999999999</v>
      </c>
      <c r="H43" s="28">
        <f>SUM(H41:H42)*G54</f>
        <v>85.265111664000017</v>
      </c>
    </row>
    <row r="44" spans="1:9" ht="15.75" x14ac:dyDescent="0.25">
      <c r="A44" s="49"/>
      <c r="B44" s="50" t="s">
        <v>45</v>
      </c>
      <c r="C44" s="40"/>
      <c r="D44" s="41"/>
      <c r="E44" s="41"/>
      <c r="F44" s="42"/>
      <c r="G44" s="42"/>
      <c r="H44" s="43">
        <f>SUM(H41:H43)</f>
        <v>316.963784664</v>
      </c>
    </row>
    <row r="45" spans="1:9" ht="15.75" x14ac:dyDescent="0.25">
      <c r="A45" s="110" t="s">
        <v>52</v>
      </c>
      <c r="B45" s="269" t="s">
        <v>53</v>
      </c>
      <c r="C45" s="269"/>
      <c r="D45" s="269"/>
      <c r="E45" s="269"/>
      <c r="F45" s="269"/>
      <c r="G45" s="269"/>
      <c r="H45" s="269"/>
    </row>
    <row r="46" spans="1:9" ht="15.75" x14ac:dyDescent="0.25">
      <c r="A46" s="1" t="s">
        <v>4</v>
      </c>
      <c r="B46" s="51" t="s">
        <v>54</v>
      </c>
      <c r="C46" s="51"/>
      <c r="D46" s="27"/>
      <c r="E46" s="27"/>
      <c r="F46" s="28"/>
      <c r="G46" s="45">
        <v>0.2</v>
      </c>
      <c r="H46" s="28">
        <f>SUM($H$38*G46)</f>
        <v>226.822</v>
      </c>
    </row>
    <row r="47" spans="1:9" ht="15.75" x14ac:dyDescent="0.25">
      <c r="A47" s="1" t="s">
        <v>7</v>
      </c>
      <c r="B47" s="51" t="s">
        <v>55</v>
      </c>
      <c r="C47" s="51"/>
      <c r="D47" s="278" t="s">
        <v>56</v>
      </c>
      <c r="E47" s="278"/>
      <c r="F47" s="28"/>
      <c r="G47" s="52">
        <v>1.4999999999999999E-2</v>
      </c>
      <c r="H47" s="28">
        <f t="shared" ref="H47:H53" si="0">SUM($H$38*G47)</f>
        <v>17.011649999999999</v>
      </c>
      <c r="I47" s="115"/>
    </row>
    <row r="48" spans="1:9" ht="15.75" x14ac:dyDescent="0.25">
      <c r="A48" s="1" t="s">
        <v>9</v>
      </c>
      <c r="B48" s="51" t="s">
        <v>57</v>
      </c>
      <c r="C48" s="51"/>
      <c r="D48" s="278"/>
      <c r="E48" s="278"/>
      <c r="F48" s="28"/>
      <c r="G48" s="52">
        <v>0.01</v>
      </c>
      <c r="H48" s="28">
        <f t="shared" si="0"/>
        <v>11.341099999999999</v>
      </c>
    </row>
    <row r="49" spans="1:13" ht="15.75" x14ac:dyDescent="0.25">
      <c r="A49" s="1" t="s">
        <v>17</v>
      </c>
      <c r="B49" s="51" t="s">
        <v>58</v>
      </c>
      <c r="C49" s="51"/>
      <c r="D49" s="27"/>
      <c r="E49" s="27"/>
      <c r="F49" s="28"/>
      <c r="G49" s="52">
        <v>2E-3</v>
      </c>
      <c r="H49" s="28">
        <f t="shared" si="0"/>
        <v>2.2682199999999999</v>
      </c>
    </row>
    <row r="50" spans="1:13" ht="15.75" x14ac:dyDescent="0.25">
      <c r="A50" s="1" t="s">
        <v>40</v>
      </c>
      <c r="B50" s="51" t="s">
        <v>59</v>
      </c>
      <c r="C50" s="51"/>
      <c r="D50" s="27"/>
      <c r="E50" s="27"/>
      <c r="F50" s="28"/>
      <c r="G50" s="52">
        <v>2.5000000000000001E-2</v>
      </c>
      <c r="H50" s="28">
        <f>SUM($H$38*G50)</f>
        <v>28.35275</v>
      </c>
    </row>
    <row r="51" spans="1:13" ht="15.75" x14ac:dyDescent="0.25">
      <c r="A51" s="1" t="s">
        <v>42</v>
      </c>
      <c r="B51" s="51" t="s">
        <v>60</v>
      </c>
      <c r="C51" s="51"/>
      <c r="D51" s="27"/>
      <c r="E51" s="27"/>
      <c r="F51" s="28"/>
      <c r="G51" s="45">
        <v>0.08</v>
      </c>
      <c r="H51" s="28">
        <f t="shared" si="0"/>
        <v>90.728799999999993</v>
      </c>
    </row>
    <row r="52" spans="1:13" ht="15.75" x14ac:dyDescent="0.25">
      <c r="A52" s="127" t="s">
        <v>61</v>
      </c>
      <c r="B52" s="128" t="s">
        <v>62</v>
      </c>
      <c r="C52" s="128"/>
      <c r="D52" s="129"/>
      <c r="E52" s="129"/>
      <c r="F52" s="129"/>
      <c r="G52" s="130">
        <v>0.03</v>
      </c>
      <c r="H52" s="131">
        <f t="shared" si="0"/>
        <v>34.023299999999999</v>
      </c>
    </row>
    <row r="53" spans="1:13" ht="15.75" x14ac:dyDescent="0.25">
      <c r="A53" s="1" t="s">
        <v>43</v>
      </c>
      <c r="B53" s="51" t="s">
        <v>63</v>
      </c>
      <c r="C53" s="51"/>
      <c r="D53" s="27"/>
      <c r="E53" s="27"/>
      <c r="F53" s="28"/>
      <c r="G53" s="52">
        <v>6.0000000000000001E-3</v>
      </c>
      <c r="H53" s="28">
        <f t="shared" si="0"/>
        <v>6.8046599999999993</v>
      </c>
      <c r="I53" s="121">
        <f>H54+H43</f>
        <v>502.61759166400003</v>
      </c>
    </row>
    <row r="54" spans="1:13" ht="15.75" x14ac:dyDescent="0.25">
      <c r="A54" s="54"/>
      <c r="B54" s="55" t="s">
        <v>45</v>
      </c>
      <c r="C54" s="55"/>
      <c r="D54" s="40"/>
      <c r="E54" s="40"/>
      <c r="F54" s="56"/>
      <c r="G54" s="57">
        <f>SUM(G46:G53)</f>
        <v>0.3680000000000001</v>
      </c>
      <c r="H54" s="58">
        <f>SUM(H46:H53)</f>
        <v>417.35248000000001</v>
      </c>
    </row>
    <row r="55" spans="1:13" ht="15.75" x14ac:dyDescent="0.25">
      <c r="A55" s="110" t="s">
        <v>64</v>
      </c>
      <c r="B55" s="269" t="s">
        <v>65</v>
      </c>
      <c r="C55" s="269"/>
      <c r="D55" s="269"/>
      <c r="E55" s="269"/>
      <c r="F55" s="269"/>
      <c r="G55" s="269"/>
      <c r="H55" s="269"/>
    </row>
    <row r="56" spans="1:13" ht="15.75" x14ac:dyDescent="0.25">
      <c r="A56" s="6" t="s">
        <v>66</v>
      </c>
      <c r="B56" s="59"/>
      <c r="C56" s="59"/>
      <c r="D56" s="60" t="s">
        <v>67</v>
      </c>
      <c r="E56" s="60" t="s">
        <v>68</v>
      </c>
      <c r="F56" s="60" t="s">
        <v>69</v>
      </c>
      <c r="G56" s="60" t="s">
        <v>70</v>
      </c>
      <c r="H56" s="6"/>
    </row>
    <row r="57" spans="1:13" ht="15.75" x14ac:dyDescent="0.25">
      <c r="A57" s="270" t="s">
        <v>4</v>
      </c>
      <c r="B57" s="6" t="s">
        <v>71</v>
      </c>
      <c r="C57" s="6"/>
      <c r="D57" s="271"/>
      <c r="E57" s="272"/>
      <c r="F57" s="273"/>
      <c r="G57" s="274"/>
      <c r="H57" s="35">
        <f>F57*E57*D57</f>
        <v>0</v>
      </c>
    </row>
    <row r="58" spans="1:13" ht="15.75" x14ac:dyDescent="0.25">
      <c r="A58" s="270"/>
      <c r="B58" s="6" t="s">
        <v>72</v>
      </c>
      <c r="C58" s="6"/>
      <c r="D58" s="271"/>
      <c r="E58" s="271"/>
      <c r="F58" s="271"/>
      <c r="G58" s="271"/>
      <c r="H58" s="35">
        <f>H27*G57</f>
        <v>0</v>
      </c>
    </row>
    <row r="59" spans="1:13" ht="15.75" x14ac:dyDescent="0.25">
      <c r="A59" s="270"/>
      <c r="B59" s="8" t="s">
        <v>73</v>
      </c>
      <c r="C59" s="8"/>
      <c r="D59" s="8"/>
      <c r="E59" s="27"/>
      <c r="F59" s="27"/>
      <c r="G59" s="61"/>
      <c r="H59" s="35">
        <f>H57-H58</f>
        <v>0</v>
      </c>
    </row>
    <row r="60" spans="1:13" ht="15.75" x14ac:dyDescent="0.25">
      <c r="A60" s="270" t="s">
        <v>7</v>
      </c>
      <c r="B60" s="6" t="s">
        <v>74</v>
      </c>
      <c r="C60" s="6"/>
      <c r="D60" s="271">
        <v>1</v>
      </c>
      <c r="E60" s="272">
        <v>1</v>
      </c>
      <c r="F60" s="273">
        <v>0</v>
      </c>
      <c r="G60" s="274">
        <v>0.2</v>
      </c>
      <c r="H60" s="35">
        <f>F60*E60*D60</f>
        <v>0</v>
      </c>
    </row>
    <row r="61" spans="1:13" ht="15.75" x14ac:dyDescent="0.25">
      <c r="A61" s="270"/>
      <c r="B61" s="6" t="s">
        <v>72</v>
      </c>
      <c r="C61" s="6"/>
      <c r="D61" s="271"/>
      <c r="E61" s="271"/>
      <c r="F61" s="271"/>
      <c r="G61" s="271"/>
      <c r="H61" s="35">
        <f>H60*G60</f>
        <v>0</v>
      </c>
    </row>
    <row r="62" spans="1:13" ht="15.75" x14ac:dyDescent="0.25">
      <c r="A62" s="270"/>
      <c r="B62" s="275" t="s">
        <v>75</v>
      </c>
      <c r="C62" s="275"/>
      <c r="D62" s="275"/>
      <c r="E62" s="275"/>
      <c r="F62" s="13"/>
      <c r="G62" s="13"/>
      <c r="H62" s="35">
        <f>H60-H61</f>
        <v>0</v>
      </c>
    </row>
    <row r="63" spans="1:13" ht="15.75" x14ac:dyDescent="0.25">
      <c r="A63" s="62" t="s">
        <v>9</v>
      </c>
      <c r="B63" s="275" t="s">
        <v>76</v>
      </c>
      <c r="C63" s="275"/>
      <c r="D63" s="275"/>
      <c r="E63" s="275"/>
      <c r="F63" s="13"/>
      <c r="G63" s="13"/>
      <c r="H63" s="35">
        <v>0</v>
      </c>
    </row>
    <row r="64" spans="1:13" ht="15.75" x14ac:dyDescent="0.25">
      <c r="A64" s="62" t="s">
        <v>17</v>
      </c>
      <c r="B64" s="117" t="s">
        <v>177</v>
      </c>
      <c r="C64" s="117"/>
      <c r="D64" s="117"/>
      <c r="E64" s="117" t="s">
        <v>163</v>
      </c>
      <c r="F64" s="13"/>
      <c r="G64" s="13"/>
      <c r="H64" s="35">
        <v>100</v>
      </c>
      <c r="J64" s="125"/>
      <c r="K64" s="13"/>
      <c r="L64" s="13"/>
      <c r="M64" s="35">
        <v>0</v>
      </c>
    </row>
    <row r="65" spans="1:13" ht="15.75" x14ac:dyDescent="0.25">
      <c r="A65" s="62" t="s">
        <v>40</v>
      </c>
      <c r="B65" s="116" t="s">
        <v>224</v>
      </c>
      <c r="C65" s="117"/>
      <c r="D65" s="117"/>
      <c r="E65" s="117"/>
      <c r="F65" s="13"/>
      <c r="G65" s="13"/>
      <c r="H65" s="35">
        <v>3.53</v>
      </c>
      <c r="J65" s="148"/>
      <c r="K65" s="13"/>
      <c r="L65" s="13"/>
      <c r="M65" s="35"/>
    </row>
    <row r="66" spans="1:13" ht="15.75" x14ac:dyDescent="0.25">
      <c r="A66" s="62" t="s">
        <v>42</v>
      </c>
      <c r="B66" s="116" t="s">
        <v>78</v>
      </c>
      <c r="C66" s="116"/>
      <c r="D66" s="116"/>
      <c r="E66" s="118">
        <v>0</v>
      </c>
      <c r="H66" s="35">
        <f>(1/12*(H27+H28+H30))*E66</f>
        <v>0</v>
      </c>
    </row>
    <row r="67" spans="1:13" ht="15.75" x14ac:dyDescent="0.25">
      <c r="A67" s="63"/>
      <c r="B67" s="276" t="s">
        <v>45</v>
      </c>
      <c r="C67" s="276"/>
      <c r="D67" s="276"/>
      <c r="E67" s="276"/>
      <c r="F67" s="64"/>
      <c r="G67" s="64"/>
      <c r="H67" s="65">
        <f>H59+H62+H63+H64+H65+H66</f>
        <v>103.53</v>
      </c>
    </row>
    <row r="68" spans="1:13" ht="15.75" x14ac:dyDescent="0.25">
      <c r="A68" s="269" t="s">
        <v>79</v>
      </c>
      <c r="B68" s="269"/>
      <c r="C68" s="269"/>
      <c r="D68" s="269"/>
      <c r="E68" s="269"/>
      <c r="F68" s="269"/>
      <c r="G68" s="269"/>
      <c r="H68" s="269"/>
    </row>
    <row r="69" spans="1:13" ht="15.75" x14ac:dyDescent="0.25">
      <c r="A69" s="62" t="s">
        <v>47</v>
      </c>
      <c r="B69" s="8" t="s">
        <v>80</v>
      </c>
      <c r="C69" s="8"/>
      <c r="D69" s="66"/>
      <c r="E69" s="66"/>
      <c r="F69" s="13"/>
      <c r="G69" s="13"/>
      <c r="H69" s="67">
        <f>H44</f>
        <v>316.963784664</v>
      </c>
    </row>
    <row r="70" spans="1:13" ht="15.75" x14ac:dyDescent="0.25">
      <c r="A70" s="62" t="s">
        <v>52</v>
      </c>
      <c r="B70" s="8" t="s">
        <v>81</v>
      </c>
      <c r="C70" s="8"/>
      <c r="D70" s="66"/>
      <c r="E70" s="66"/>
      <c r="F70" s="13"/>
      <c r="G70" s="13"/>
      <c r="H70" s="67">
        <f>H54</f>
        <v>417.35248000000001</v>
      </c>
    </row>
    <row r="71" spans="1:13" ht="15.75" x14ac:dyDescent="0.25">
      <c r="A71" s="62" t="s">
        <v>64</v>
      </c>
      <c r="B71" s="8" t="s">
        <v>82</v>
      </c>
      <c r="C71" s="8"/>
      <c r="D71" s="66"/>
      <c r="E71" s="66"/>
      <c r="F71" s="13"/>
      <c r="G71" s="13"/>
      <c r="H71" s="67">
        <f>H67</f>
        <v>103.53</v>
      </c>
    </row>
    <row r="72" spans="1:13" ht="15.75" x14ac:dyDescent="0.25">
      <c r="A72" s="63"/>
      <c r="B72" s="126" t="s">
        <v>45</v>
      </c>
      <c r="C72" s="126"/>
      <c r="D72" s="126"/>
      <c r="E72" s="126"/>
      <c r="F72" s="64"/>
      <c r="G72" s="64"/>
      <c r="H72" s="65">
        <f>SUM(H69:H71)</f>
        <v>837.84626466400005</v>
      </c>
    </row>
    <row r="73" spans="1:13" ht="15.75" x14ac:dyDescent="0.25">
      <c r="A73" s="68">
        <v>3</v>
      </c>
      <c r="B73" s="267" t="s">
        <v>83</v>
      </c>
      <c r="C73" s="267"/>
      <c r="D73" s="267"/>
      <c r="E73" s="267"/>
      <c r="F73" s="267"/>
      <c r="G73" s="267"/>
      <c r="H73" s="267"/>
    </row>
    <row r="74" spans="1:13" ht="15.75" x14ac:dyDescent="0.25">
      <c r="A74" s="1" t="s">
        <v>4</v>
      </c>
      <c r="B74" s="48" t="s">
        <v>84</v>
      </c>
      <c r="C74" s="48"/>
      <c r="D74" s="69"/>
      <c r="E74" s="69"/>
      <c r="F74" s="69"/>
      <c r="G74" s="45">
        <v>4.1999999999999997E-3</v>
      </c>
      <c r="H74" s="28">
        <f>SUM($H$38*G74)</f>
        <v>4.7632619999999992</v>
      </c>
      <c r="I74" s="115"/>
    </row>
    <row r="75" spans="1:13" ht="15.75" x14ac:dyDescent="0.25">
      <c r="A75" s="1" t="s">
        <v>7</v>
      </c>
      <c r="B75" s="48" t="s">
        <v>85</v>
      </c>
      <c r="C75" s="48"/>
      <c r="D75" s="27"/>
      <c r="E75" s="27"/>
      <c r="F75" s="28"/>
      <c r="G75" s="45">
        <f>G74*0.08</f>
        <v>3.3599999999999998E-4</v>
      </c>
      <c r="H75" s="28">
        <f>SUM($H$38*G75)</f>
        <v>0.38106095999999995</v>
      </c>
    </row>
    <row r="76" spans="1:13" ht="15.75" x14ac:dyDescent="0.25">
      <c r="A76" s="1" t="s">
        <v>9</v>
      </c>
      <c r="B76" s="48" t="s">
        <v>86</v>
      </c>
      <c r="C76" s="48"/>
      <c r="D76" s="70"/>
      <c r="E76" s="70"/>
      <c r="F76" s="70"/>
      <c r="G76" s="71">
        <v>2.0000000000000001E-4</v>
      </c>
      <c r="H76" s="72">
        <f>(ROUND(SUM($H$38*G76),2))</f>
        <v>0.23</v>
      </c>
    </row>
    <row r="77" spans="1:13" ht="15.75" x14ac:dyDescent="0.25">
      <c r="A77" s="1" t="s">
        <v>17</v>
      </c>
      <c r="B77" s="27" t="s">
        <v>87</v>
      </c>
      <c r="C77" s="27"/>
      <c r="D77" s="69"/>
      <c r="E77" s="69"/>
      <c r="F77" s="69"/>
      <c r="G77" s="45">
        <v>1.9400000000000001E-2</v>
      </c>
      <c r="H77" s="28">
        <f>SUM($H$38*G77)</f>
        <v>22.001733999999999</v>
      </c>
      <c r="I77" s="115"/>
    </row>
    <row r="78" spans="1:13" ht="15.75" x14ac:dyDescent="0.25">
      <c r="A78" s="1" t="s">
        <v>40</v>
      </c>
      <c r="B78" s="48" t="s">
        <v>226</v>
      </c>
      <c r="C78" s="48"/>
      <c r="D78" s="27"/>
      <c r="E78" s="27"/>
      <c r="F78" s="28"/>
      <c r="G78" s="45">
        <f>G77*G54</f>
        <v>7.1392000000000027E-3</v>
      </c>
      <c r="H78" s="28">
        <f>SUM($H$38*G78)</f>
        <v>8.0966381120000026</v>
      </c>
    </row>
    <row r="79" spans="1:13" ht="15.75" x14ac:dyDescent="0.25">
      <c r="A79" s="1" t="s">
        <v>42</v>
      </c>
      <c r="B79" s="27" t="s">
        <v>89</v>
      </c>
      <c r="C79" s="27"/>
      <c r="D79" s="70"/>
      <c r="E79" s="70"/>
      <c r="F79" s="70"/>
      <c r="G79" s="52">
        <v>1E-4</v>
      </c>
      <c r="H79" s="28">
        <f>SUM($H$38*G79)</f>
        <v>0.113411</v>
      </c>
    </row>
    <row r="80" spans="1:13" ht="15.75" x14ac:dyDescent="0.25">
      <c r="A80" s="73"/>
      <c r="B80" s="55" t="s">
        <v>45</v>
      </c>
      <c r="C80" s="55"/>
      <c r="D80" s="41"/>
      <c r="E80" s="41"/>
      <c r="F80" s="74"/>
      <c r="G80" s="57">
        <f>SUM(G74:G79)</f>
        <v>3.1375200000000006E-2</v>
      </c>
      <c r="H80" s="58">
        <f>SUM(H74:H79)</f>
        <v>35.586106072</v>
      </c>
    </row>
    <row r="81" spans="1:9" ht="15.75" x14ac:dyDescent="0.25">
      <c r="A81" s="44">
        <v>4</v>
      </c>
      <c r="B81" s="277" t="s">
        <v>90</v>
      </c>
      <c r="C81" s="277"/>
      <c r="D81" s="277"/>
      <c r="E81" s="277"/>
      <c r="F81" s="277"/>
      <c r="G81" s="277"/>
      <c r="H81" s="277"/>
    </row>
    <row r="82" spans="1:9" ht="15.75" x14ac:dyDescent="0.25">
      <c r="A82" s="75" t="s">
        <v>91</v>
      </c>
      <c r="B82" s="269" t="s">
        <v>237</v>
      </c>
      <c r="C82" s="269"/>
      <c r="D82" s="269"/>
      <c r="E82" s="269"/>
      <c r="F82" s="269"/>
      <c r="G82" s="269"/>
      <c r="H82" s="269"/>
    </row>
    <row r="83" spans="1:9" ht="15.75" x14ac:dyDescent="0.25">
      <c r="A83" s="12" t="s">
        <v>4</v>
      </c>
      <c r="B83" s="51" t="s">
        <v>227</v>
      </c>
      <c r="C83" s="51"/>
      <c r="D83" s="53"/>
      <c r="E83" s="53"/>
      <c r="F83" s="53"/>
      <c r="G83" s="45">
        <f>(G41+G42)/12</f>
        <v>1.7024999999999998E-2</v>
      </c>
      <c r="H83" s="28"/>
    </row>
    <row r="84" spans="1:9" ht="15.75" x14ac:dyDescent="0.25">
      <c r="A84" s="123" t="s">
        <v>7</v>
      </c>
      <c r="B84" s="51" t="s">
        <v>228</v>
      </c>
      <c r="C84" s="268" t="s">
        <v>95</v>
      </c>
      <c r="D84" s="76">
        <v>1</v>
      </c>
      <c r="E84" s="268" t="s">
        <v>96</v>
      </c>
      <c r="F84" s="77">
        <v>1</v>
      </c>
      <c r="G84" s="45">
        <f t="shared" ref="G84:G89" si="1">D84/360*F84</f>
        <v>2.7777777777777779E-3</v>
      </c>
      <c r="H84" s="28">
        <f t="shared" ref="H84:H88" si="2">SUM(H$38*G84)</f>
        <v>3.1503055555555552</v>
      </c>
    </row>
    <row r="85" spans="1:9" ht="15.75" x14ac:dyDescent="0.25">
      <c r="A85" s="12" t="s">
        <v>9</v>
      </c>
      <c r="B85" s="51" t="s">
        <v>229</v>
      </c>
      <c r="C85" s="268"/>
      <c r="D85" s="76">
        <v>20</v>
      </c>
      <c r="E85" s="268"/>
      <c r="F85" s="77">
        <v>1.4999999999999999E-2</v>
      </c>
      <c r="G85" s="45">
        <f t="shared" si="1"/>
        <v>8.3333333333333328E-4</v>
      </c>
      <c r="H85" s="28">
        <f t="shared" si="2"/>
        <v>0.94509166666666655</v>
      </c>
    </row>
    <row r="86" spans="1:9" ht="15.75" x14ac:dyDescent="0.25">
      <c r="A86" s="12" t="s">
        <v>17</v>
      </c>
      <c r="B86" s="51" t="s">
        <v>230</v>
      </c>
      <c r="C86" s="268"/>
      <c r="D86" s="76">
        <v>15</v>
      </c>
      <c r="E86" s="268"/>
      <c r="F86" s="78">
        <v>1.3299999999999999E-2</v>
      </c>
      <c r="G86" s="45">
        <f t="shared" si="1"/>
        <v>5.5416666666666657E-4</v>
      </c>
      <c r="H86" s="28">
        <f t="shared" si="2"/>
        <v>0.62848595833333321</v>
      </c>
    </row>
    <row r="87" spans="1:9" ht="15.75" x14ac:dyDescent="0.25">
      <c r="A87" s="12" t="s">
        <v>40</v>
      </c>
      <c r="B87" s="51" t="s">
        <v>231</v>
      </c>
      <c r="C87" s="268"/>
      <c r="D87" s="76">
        <v>180</v>
      </c>
      <c r="E87" s="268"/>
      <c r="F87" s="77">
        <v>1.8599999999999998E-2</v>
      </c>
      <c r="G87" s="45">
        <f t="shared" si="1"/>
        <v>9.2999999999999992E-3</v>
      </c>
      <c r="H87" s="28">
        <f t="shared" si="2"/>
        <v>10.547222999999999</v>
      </c>
    </row>
    <row r="88" spans="1:9" ht="15.75" x14ac:dyDescent="0.25">
      <c r="A88" s="12" t="s">
        <v>42</v>
      </c>
      <c r="B88" s="51" t="s">
        <v>232</v>
      </c>
      <c r="C88" s="268"/>
      <c r="D88" s="79">
        <v>5</v>
      </c>
      <c r="E88" s="268"/>
      <c r="F88" s="80">
        <v>1</v>
      </c>
      <c r="G88" s="45">
        <f t="shared" si="1"/>
        <v>1.3888888888888888E-2</v>
      </c>
      <c r="H88" s="81">
        <f t="shared" si="2"/>
        <v>15.751527777777776</v>
      </c>
    </row>
    <row r="89" spans="1:9" ht="15.75" x14ac:dyDescent="0.25">
      <c r="A89" s="12" t="s">
        <v>61</v>
      </c>
      <c r="B89" s="51" t="s">
        <v>101</v>
      </c>
      <c r="C89" s="268"/>
      <c r="D89" s="79"/>
      <c r="E89" s="268"/>
      <c r="F89" s="82"/>
      <c r="G89" s="45">
        <f t="shared" si="1"/>
        <v>0</v>
      </c>
      <c r="H89" s="81"/>
    </row>
    <row r="90" spans="1:9" ht="15.75" x14ac:dyDescent="0.25">
      <c r="A90" s="19"/>
      <c r="B90" s="6" t="s">
        <v>102</v>
      </c>
      <c r="C90" s="6"/>
      <c r="D90" s="27"/>
      <c r="E90" s="27"/>
      <c r="F90" s="28"/>
      <c r="G90" s="45">
        <f>SUM(G83:G89)</f>
        <v>4.4379166666666664E-2</v>
      </c>
      <c r="H90" s="28">
        <f>SUM(H83:H89)</f>
        <v>31.02263395833333</v>
      </c>
      <c r="I90" s="115">
        <f>SUM(H84:H90)*G54</f>
        <v>22.832658593333338</v>
      </c>
    </row>
    <row r="91" spans="1:9" ht="15.75" x14ac:dyDescent="0.25">
      <c r="A91" s="12" t="s">
        <v>42</v>
      </c>
      <c r="B91" s="51" t="s">
        <v>103</v>
      </c>
      <c r="C91" s="51"/>
      <c r="D91" s="27"/>
      <c r="E91" s="27"/>
      <c r="F91" s="28"/>
      <c r="G91" s="45">
        <f>G90*G54</f>
        <v>1.6331533333333335E-2</v>
      </c>
      <c r="H91" s="28">
        <f>SUM(H90*G54)</f>
        <v>11.416329296666669</v>
      </c>
    </row>
    <row r="92" spans="1:9" ht="15.75" x14ac:dyDescent="0.25">
      <c r="A92" s="73"/>
      <c r="B92" s="55" t="s">
        <v>45</v>
      </c>
      <c r="C92" s="55"/>
      <c r="D92" s="41"/>
      <c r="E92" s="41"/>
      <c r="F92" s="74"/>
      <c r="G92" s="57">
        <f>G91+G90</f>
        <v>6.0710699999999999E-2</v>
      </c>
      <c r="H92" s="58">
        <f>SUM(H90:H91)</f>
        <v>42.438963254999997</v>
      </c>
    </row>
    <row r="93" spans="1:9" ht="15.75" x14ac:dyDescent="0.25">
      <c r="A93" s="75" t="s">
        <v>104</v>
      </c>
      <c r="B93" s="269" t="s">
        <v>233</v>
      </c>
      <c r="C93" s="269"/>
      <c r="D93" s="269"/>
      <c r="E93" s="269"/>
      <c r="F93" s="269"/>
      <c r="G93" s="269"/>
      <c r="H93" s="269"/>
    </row>
    <row r="94" spans="1:9" ht="15.75" x14ac:dyDescent="0.25">
      <c r="A94" s="12" t="s">
        <v>4</v>
      </c>
      <c r="B94" s="51" t="s">
        <v>235</v>
      </c>
      <c r="C94" s="51"/>
      <c r="D94" s="53"/>
      <c r="E94" s="53"/>
      <c r="F94" s="53"/>
      <c r="G94" s="52">
        <v>0</v>
      </c>
      <c r="H94" s="28">
        <f>SUM(H$38*G94)</f>
        <v>0</v>
      </c>
    </row>
    <row r="95" spans="1:9" ht="15.75" x14ac:dyDescent="0.25">
      <c r="A95" s="12" t="s">
        <v>7</v>
      </c>
      <c r="B95" s="51" t="s">
        <v>107</v>
      </c>
      <c r="C95" s="51"/>
      <c r="D95" s="53"/>
      <c r="E95" s="53"/>
      <c r="F95" s="53"/>
      <c r="G95" s="45">
        <f>G94*G54</f>
        <v>0</v>
      </c>
      <c r="H95" s="28">
        <f>SUM($H$38*G95)</f>
        <v>0</v>
      </c>
    </row>
    <row r="96" spans="1:9" ht="15.75" x14ac:dyDescent="0.25">
      <c r="A96" s="73"/>
      <c r="B96" s="55" t="s">
        <v>45</v>
      </c>
      <c r="C96" s="55"/>
      <c r="D96" s="41"/>
      <c r="E96" s="41"/>
      <c r="F96" s="74"/>
      <c r="G96" s="57">
        <f>G95+G94</f>
        <v>0</v>
      </c>
      <c r="H96" s="58">
        <f>SUM(H94:H95)</f>
        <v>0</v>
      </c>
    </row>
    <row r="97" spans="1:10" ht="15.75" x14ac:dyDescent="0.25">
      <c r="A97" s="269" t="s">
        <v>108</v>
      </c>
      <c r="B97" s="269"/>
      <c r="C97" s="269"/>
      <c r="D97" s="269"/>
      <c r="E97" s="269"/>
      <c r="F97" s="269"/>
      <c r="G97" s="269"/>
      <c r="H97" s="269"/>
    </row>
    <row r="98" spans="1:10" ht="15.75" x14ac:dyDescent="0.25">
      <c r="A98" s="12" t="s">
        <v>91</v>
      </c>
      <c r="B98" s="51" t="s">
        <v>236</v>
      </c>
      <c r="C98" s="51"/>
      <c r="D98" s="53"/>
      <c r="E98" s="53"/>
      <c r="F98" s="53"/>
      <c r="G98" s="45">
        <f>G92</f>
        <v>6.0710699999999999E-2</v>
      </c>
      <c r="H98" s="28">
        <f>H92</f>
        <v>42.438963254999997</v>
      </c>
    </row>
    <row r="99" spans="1:10" ht="15.75" x14ac:dyDescent="0.25">
      <c r="A99" s="12" t="s">
        <v>104</v>
      </c>
      <c r="B99" s="51" t="s">
        <v>234</v>
      </c>
      <c r="C99" s="51"/>
      <c r="D99" s="53"/>
      <c r="E99" s="53"/>
      <c r="F99" s="53"/>
      <c r="G99" s="45">
        <f>G96</f>
        <v>0</v>
      </c>
      <c r="H99" s="28">
        <f>H96</f>
        <v>0</v>
      </c>
    </row>
    <row r="100" spans="1:10" ht="15.75" x14ac:dyDescent="0.25">
      <c r="A100" s="73"/>
      <c r="B100" s="55" t="s">
        <v>45</v>
      </c>
      <c r="C100" s="55"/>
      <c r="D100" s="41"/>
      <c r="E100" s="41"/>
      <c r="F100" s="74"/>
      <c r="G100" s="57">
        <f>G96+G92</f>
        <v>6.0710699999999999E-2</v>
      </c>
      <c r="H100" s="58">
        <f>SUM(H98:H99)</f>
        <v>42.438963254999997</v>
      </c>
    </row>
    <row r="101" spans="1:10" ht="15.75" x14ac:dyDescent="0.25">
      <c r="A101" s="83">
        <v>5</v>
      </c>
      <c r="B101" s="269" t="s">
        <v>110</v>
      </c>
      <c r="C101" s="269"/>
      <c r="D101" s="269"/>
      <c r="E101" s="269"/>
      <c r="F101" s="269"/>
      <c r="G101" s="269"/>
      <c r="H101" s="269"/>
    </row>
    <row r="102" spans="1:10" ht="15.75" x14ac:dyDescent="0.25">
      <c r="A102" s="12" t="s">
        <v>4</v>
      </c>
      <c r="B102" s="13" t="s">
        <v>111</v>
      </c>
      <c r="C102" s="13"/>
      <c r="D102" s="84"/>
      <c r="E102" s="27"/>
      <c r="F102" s="85"/>
      <c r="G102" s="85"/>
      <c r="H102" s="85">
        <v>36.590000000000003</v>
      </c>
    </row>
    <row r="103" spans="1:10" ht="15.75" x14ac:dyDescent="0.25">
      <c r="A103" s="12" t="s">
        <v>7</v>
      </c>
      <c r="B103" s="13" t="s">
        <v>112</v>
      </c>
      <c r="C103" s="13"/>
      <c r="D103" s="84"/>
      <c r="E103" s="27"/>
      <c r="F103" s="85"/>
      <c r="G103" s="85"/>
      <c r="H103" s="85"/>
    </row>
    <row r="104" spans="1:10" ht="15.75" x14ac:dyDescent="0.25">
      <c r="A104" s="12" t="s">
        <v>9</v>
      </c>
      <c r="B104" s="13" t="s">
        <v>113</v>
      </c>
      <c r="C104" s="13"/>
      <c r="D104" s="84"/>
      <c r="E104" s="27"/>
      <c r="F104" s="85"/>
      <c r="G104" s="85"/>
      <c r="H104" s="85">
        <v>5.21</v>
      </c>
    </row>
    <row r="105" spans="1:10" ht="15.75" x14ac:dyDescent="0.25">
      <c r="A105" s="12" t="s">
        <v>17</v>
      </c>
      <c r="B105" s="13" t="s">
        <v>164</v>
      </c>
      <c r="C105" s="13"/>
      <c r="D105" s="84"/>
      <c r="E105" s="27"/>
      <c r="F105" s="85"/>
      <c r="G105" s="85"/>
      <c r="H105" s="85">
        <v>15.14</v>
      </c>
    </row>
    <row r="106" spans="1:10" ht="15.75" x14ac:dyDescent="0.25">
      <c r="A106" s="12" t="s">
        <v>40</v>
      </c>
      <c r="B106" s="13" t="s">
        <v>101</v>
      </c>
      <c r="C106" s="13"/>
      <c r="D106" s="84"/>
      <c r="E106" s="27"/>
      <c r="F106" s="85"/>
      <c r="G106" s="85"/>
      <c r="H106" s="85" t="s">
        <v>239</v>
      </c>
    </row>
    <row r="107" spans="1:10" ht="15.75" x14ac:dyDescent="0.25">
      <c r="A107" s="73"/>
      <c r="B107" s="55" t="s">
        <v>45</v>
      </c>
      <c r="C107" s="55"/>
      <c r="D107" s="41"/>
      <c r="E107" s="41"/>
      <c r="F107" s="74"/>
      <c r="G107" s="57"/>
      <c r="H107" s="58">
        <f>SUM(H102:H106)</f>
        <v>56.940000000000005</v>
      </c>
    </row>
    <row r="108" spans="1:10" ht="15.75" x14ac:dyDescent="0.25">
      <c r="A108" s="83">
        <v>6</v>
      </c>
      <c r="B108" s="269" t="s">
        <v>114</v>
      </c>
      <c r="C108" s="269"/>
      <c r="D108" s="269"/>
      <c r="E108" s="269"/>
      <c r="F108" s="269"/>
      <c r="G108" s="269"/>
      <c r="H108" s="269"/>
    </row>
    <row r="109" spans="1:10" ht="15.75" x14ac:dyDescent="0.25">
      <c r="A109" s="86" t="s">
        <v>4</v>
      </c>
      <c r="B109" s="27"/>
      <c r="C109" s="27"/>
      <c r="D109" s="27"/>
      <c r="E109" s="27"/>
      <c r="F109" s="27" t="s">
        <v>115</v>
      </c>
      <c r="G109" s="52">
        <v>0.01</v>
      </c>
      <c r="H109" s="28">
        <f>G109*H124</f>
        <v>21.069213339909997</v>
      </c>
    </row>
    <row r="110" spans="1:10" ht="15.75" x14ac:dyDescent="0.25">
      <c r="A110" s="86" t="s">
        <v>7</v>
      </c>
      <c r="B110" s="27"/>
      <c r="C110" s="27"/>
      <c r="D110" s="27"/>
      <c r="E110" s="27"/>
      <c r="F110" s="12" t="s">
        <v>116</v>
      </c>
      <c r="G110" s="52">
        <v>0.01</v>
      </c>
      <c r="H110" s="28">
        <f>SUM(H109+H124)*$G$110</f>
        <v>21.2799054733091</v>
      </c>
    </row>
    <row r="111" spans="1:10" ht="15.75" x14ac:dyDescent="0.25">
      <c r="A111" s="86" t="s">
        <v>9</v>
      </c>
      <c r="B111" s="27"/>
      <c r="C111" s="27"/>
      <c r="D111" s="27"/>
      <c r="E111" s="27"/>
      <c r="F111" s="12" t="s">
        <v>117</v>
      </c>
      <c r="G111" s="87">
        <f>SUM(G112:G116)</f>
        <v>8.6499999999999994E-2</v>
      </c>
      <c r="H111" s="28">
        <f>H113+H114+H116</f>
        <v>203.51603083477278</v>
      </c>
    </row>
    <row r="112" spans="1:10" ht="15.75" x14ac:dyDescent="0.25">
      <c r="A112" s="86" t="s">
        <v>118</v>
      </c>
      <c r="B112" s="27"/>
      <c r="C112" s="27"/>
      <c r="D112" s="27"/>
      <c r="E112" s="27"/>
      <c r="F112" s="88" t="s">
        <v>119</v>
      </c>
      <c r="G112" s="45">
        <v>0</v>
      </c>
      <c r="H112" s="28"/>
      <c r="J112" s="120"/>
    </row>
    <row r="113" spans="1:9" ht="15.75" x14ac:dyDescent="0.25">
      <c r="A113" s="86" t="s">
        <v>120</v>
      </c>
      <c r="B113" s="27"/>
      <c r="C113" s="27"/>
      <c r="D113" s="27"/>
      <c r="E113" s="27"/>
      <c r="F113" s="88" t="s">
        <v>121</v>
      </c>
      <c r="G113" s="52">
        <v>6.4999999999999997E-3</v>
      </c>
      <c r="H113" s="28">
        <f>((H109+H110+H124)/0.9135)*G113</f>
        <v>15.293112143653442</v>
      </c>
    </row>
    <row r="114" spans="1:9" ht="15.75" x14ac:dyDescent="0.25">
      <c r="A114" s="86" t="s">
        <v>122</v>
      </c>
      <c r="B114" s="27"/>
      <c r="C114" s="27"/>
      <c r="D114" s="27"/>
      <c r="E114" s="27"/>
      <c r="F114" s="88" t="s">
        <v>123</v>
      </c>
      <c r="G114" s="52">
        <v>0.03</v>
      </c>
      <c r="H114" s="28">
        <f>((H109+H110+H124)/0.9135)*G114</f>
        <v>70.583594509169743</v>
      </c>
    </row>
    <row r="115" spans="1:9" ht="15.75" x14ac:dyDescent="0.25">
      <c r="A115" s="86" t="s">
        <v>124</v>
      </c>
      <c r="B115" s="27"/>
      <c r="C115" s="27"/>
      <c r="D115" s="27"/>
      <c r="E115" s="27"/>
      <c r="F115" s="88" t="s">
        <v>125</v>
      </c>
      <c r="G115" s="45">
        <v>0</v>
      </c>
      <c r="H115" s="28"/>
    </row>
    <row r="116" spans="1:9" ht="15.75" x14ac:dyDescent="0.25">
      <c r="A116" s="86" t="s">
        <v>126</v>
      </c>
      <c r="B116" s="27"/>
      <c r="C116" s="27"/>
      <c r="D116" s="27"/>
      <c r="E116" s="27"/>
      <c r="F116" s="88" t="s">
        <v>127</v>
      </c>
      <c r="G116" s="45">
        <v>0.05</v>
      </c>
      <c r="H116" s="28">
        <f>((H109+H110+H124)/0.9135)*G116</f>
        <v>117.63932418194958</v>
      </c>
    </row>
    <row r="117" spans="1:9" ht="15.75" x14ac:dyDescent="0.25">
      <c r="A117" s="73"/>
      <c r="B117" s="55" t="s">
        <v>45</v>
      </c>
      <c r="C117" s="55"/>
      <c r="D117" s="41"/>
      <c r="E117" s="41"/>
      <c r="F117" s="74"/>
      <c r="G117" s="57">
        <f>G111+G110+G109</f>
        <v>0.10649999999999998</v>
      </c>
      <c r="H117" s="58">
        <f>H109+H110+H111</f>
        <v>245.86514964799187</v>
      </c>
    </row>
    <row r="118" spans="1:9" ht="15.75" x14ac:dyDescent="0.25">
      <c r="A118" s="89"/>
      <c r="B118" s="267" t="s">
        <v>128</v>
      </c>
      <c r="C118" s="267"/>
      <c r="D118" s="267"/>
      <c r="E118" s="267"/>
      <c r="F118" s="267"/>
      <c r="G118" s="267"/>
      <c r="H118" s="267"/>
    </row>
    <row r="119" spans="1:9" ht="15.75" x14ac:dyDescent="0.25">
      <c r="A119" s="90" t="s">
        <v>4</v>
      </c>
      <c r="B119" s="27" t="s">
        <v>30</v>
      </c>
      <c r="C119" s="27"/>
      <c r="D119" s="27"/>
      <c r="E119" s="27"/>
      <c r="F119" s="28"/>
      <c r="G119" s="45">
        <f>SUM(H119/H$126)</f>
        <v>0.48202844069637052</v>
      </c>
      <c r="H119" s="28">
        <f>H38</f>
        <v>1134.1099999999999</v>
      </c>
    </row>
    <row r="120" spans="1:9" ht="15.75" x14ac:dyDescent="0.25">
      <c r="A120" s="90" t="s">
        <v>7</v>
      </c>
      <c r="B120" s="27" t="s">
        <v>129</v>
      </c>
      <c r="C120" s="27"/>
      <c r="D120" s="27"/>
      <c r="E120" s="27"/>
      <c r="F120" s="28"/>
      <c r="G120" s="45">
        <f>SUM(H120/H$126)</f>
        <v>0.35610807461292693</v>
      </c>
      <c r="H120" s="28">
        <f>H72</f>
        <v>837.84626466400005</v>
      </c>
    </row>
    <row r="121" spans="1:9" ht="15.75" x14ac:dyDescent="0.25">
      <c r="A121" s="90" t="s">
        <v>9</v>
      </c>
      <c r="B121" s="27" t="s">
        <v>130</v>
      </c>
      <c r="C121" s="27"/>
      <c r="D121" s="27"/>
      <c r="E121" s="27"/>
      <c r="F121" s="28"/>
      <c r="G121" s="45">
        <f>SUM(H121/H$126)</f>
        <v>1.512508947134035E-2</v>
      </c>
      <c r="H121" s="28">
        <f>H80</f>
        <v>35.586106072</v>
      </c>
    </row>
    <row r="122" spans="1:9" ht="15.75" x14ac:dyDescent="0.25">
      <c r="A122" s="90" t="s">
        <v>17</v>
      </c>
      <c r="B122" s="27" t="s">
        <v>131</v>
      </c>
      <c r="C122" s="27"/>
      <c r="D122" s="27"/>
      <c r="E122" s="27"/>
      <c r="F122" s="28"/>
      <c r="G122" s="45">
        <f>SUM(H122/H$126)</f>
        <v>1.8037745265078533E-2</v>
      </c>
      <c r="H122" s="28">
        <f>H100</f>
        <v>42.438963254999997</v>
      </c>
    </row>
    <row r="123" spans="1:9" ht="15.75" x14ac:dyDescent="0.25">
      <c r="A123" s="90" t="s">
        <v>40</v>
      </c>
      <c r="B123" s="27" t="s">
        <v>110</v>
      </c>
      <c r="C123" s="27"/>
      <c r="D123" s="27"/>
      <c r="E123" s="27"/>
      <c r="F123" s="28"/>
      <c r="G123" s="45">
        <f>H123/H126</f>
        <v>2.4201091087505924E-2</v>
      </c>
      <c r="H123" s="28">
        <f>H107</f>
        <v>56.940000000000005</v>
      </c>
      <c r="I123" s="115">
        <f>H124+H109+H110</f>
        <v>2149.2704528042191</v>
      </c>
    </row>
    <row r="124" spans="1:9" ht="15.75" x14ac:dyDescent="0.25">
      <c r="A124" s="90"/>
      <c r="B124" s="27" t="s">
        <v>132</v>
      </c>
      <c r="C124" s="27"/>
      <c r="D124" s="27"/>
      <c r="E124" s="27"/>
      <c r="F124" s="28"/>
      <c r="G124" s="45">
        <f>SUM(G119:G123)</f>
        <v>0.89550044113322225</v>
      </c>
      <c r="H124" s="28">
        <f>SUM(H119:H123)</f>
        <v>2106.9213339909998</v>
      </c>
      <c r="I124" s="115">
        <f>I123/0.9135</f>
        <v>2352.7864836389917</v>
      </c>
    </row>
    <row r="125" spans="1:9" ht="15.75" x14ac:dyDescent="0.25">
      <c r="A125" s="90" t="s">
        <v>40</v>
      </c>
      <c r="B125" s="27" t="s">
        <v>133</v>
      </c>
      <c r="C125" s="27"/>
      <c r="D125" s="27"/>
      <c r="E125" s="27"/>
      <c r="F125" s="28"/>
      <c r="G125" s="45">
        <f>SUM(H125/H$126)</f>
        <v>0.10449955886677777</v>
      </c>
      <c r="H125" s="28">
        <f>H117</f>
        <v>245.86514964799187</v>
      </c>
    </row>
    <row r="126" spans="1:9" ht="15.75" x14ac:dyDescent="0.25">
      <c r="A126" s="55"/>
      <c r="B126" s="55" t="s">
        <v>134</v>
      </c>
      <c r="C126" s="55"/>
      <c r="D126" s="55"/>
      <c r="E126" s="55"/>
      <c r="F126" s="55"/>
      <c r="G126" s="55">
        <f>SUM(G124+G125)</f>
        <v>1</v>
      </c>
      <c r="H126" s="91">
        <f>H125+H124</f>
        <v>2352.7864836389917</v>
      </c>
    </row>
    <row r="127" spans="1:9" ht="15.75" x14ac:dyDescent="0.25">
      <c r="A127" s="92"/>
      <c r="B127" s="267" t="s">
        <v>135</v>
      </c>
      <c r="C127" s="267"/>
      <c r="D127" s="267"/>
      <c r="E127" s="267"/>
      <c r="F127" s="267"/>
      <c r="G127" s="267"/>
      <c r="H127" s="267"/>
    </row>
    <row r="128" spans="1:9" ht="47.25" x14ac:dyDescent="0.25">
      <c r="A128" s="27"/>
      <c r="B128" s="16" t="s">
        <v>20</v>
      </c>
      <c r="C128" s="16"/>
      <c r="D128" s="93" t="s">
        <v>136</v>
      </c>
      <c r="E128" s="93" t="s">
        <v>137</v>
      </c>
      <c r="F128" s="94" t="s">
        <v>138</v>
      </c>
      <c r="G128" s="93" t="s">
        <v>139</v>
      </c>
      <c r="H128" s="95" t="s">
        <v>140</v>
      </c>
    </row>
    <row r="129" spans="1:8" ht="15.75" x14ac:dyDescent="0.25">
      <c r="A129" s="27"/>
      <c r="B129" s="3" t="s">
        <v>141</v>
      </c>
      <c r="C129" s="3"/>
      <c r="D129" s="3" t="s">
        <v>142</v>
      </c>
      <c r="E129" s="96" t="s">
        <v>143</v>
      </c>
      <c r="F129" s="97" t="s">
        <v>144</v>
      </c>
      <c r="G129" s="3" t="s">
        <v>145</v>
      </c>
      <c r="H129" s="98" t="s">
        <v>146</v>
      </c>
    </row>
    <row r="130" spans="1:8" ht="15.75" x14ac:dyDescent="0.25">
      <c r="A130" s="1"/>
      <c r="B130" s="14"/>
      <c r="C130" s="14"/>
      <c r="D130" s="99">
        <f>SUM(H126)</f>
        <v>2352.7864836389917</v>
      </c>
      <c r="E130" s="100">
        <v>1</v>
      </c>
      <c r="F130" s="99">
        <f>D130*E130</f>
        <v>2352.7864836389917</v>
      </c>
      <c r="G130" s="101">
        <v>1</v>
      </c>
      <c r="H130" s="28">
        <f>E130*D130</f>
        <v>2352.7864836389917</v>
      </c>
    </row>
    <row r="131" spans="1:8" ht="15.75" x14ac:dyDescent="0.25">
      <c r="A131" s="27"/>
      <c r="B131" s="102" t="s">
        <v>147</v>
      </c>
      <c r="C131" s="102"/>
      <c r="D131" s="103"/>
      <c r="E131" s="103"/>
      <c r="F131" s="103"/>
      <c r="G131" s="103"/>
      <c r="H131" s="104">
        <f>SUM(H130)</f>
        <v>2352.7864836389917</v>
      </c>
    </row>
    <row r="132" spans="1:8" ht="15.75" x14ac:dyDescent="0.25">
      <c r="A132" s="27"/>
      <c r="B132" s="16"/>
      <c r="C132" s="16"/>
      <c r="D132" s="105"/>
      <c r="E132" s="16"/>
      <c r="F132" s="16"/>
      <c r="G132" s="16"/>
      <c r="H132" s="16"/>
    </row>
    <row r="133" spans="1:8" ht="15.75" x14ac:dyDescent="0.25">
      <c r="A133" s="83"/>
      <c r="B133" s="267" t="s">
        <v>148</v>
      </c>
      <c r="C133" s="267"/>
      <c r="D133" s="267"/>
      <c r="E133" s="267"/>
      <c r="F133" s="267"/>
      <c r="G133" s="267"/>
      <c r="H133" s="267"/>
    </row>
    <row r="134" spans="1:8" ht="15.75" x14ac:dyDescent="0.25">
      <c r="A134" s="106"/>
      <c r="B134" s="106" t="s">
        <v>149</v>
      </c>
      <c r="C134" s="106"/>
      <c r="D134" s="106"/>
      <c r="E134" s="16"/>
      <c r="F134" s="16"/>
      <c r="G134" s="16"/>
      <c r="H134" s="107" t="s">
        <v>150</v>
      </c>
    </row>
    <row r="135" spans="1:8" ht="15.75" x14ac:dyDescent="0.25">
      <c r="A135" s="108" t="s">
        <v>4</v>
      </c>
      <c r="B135" s="109" t="s">
        <v>151</v>
      </c>
      <c r="C135" s="109"/>
      <c r="D135" s="109"/>
      <c r="E135" s="13"/>
      <c r="F135" s="13"/>
      <c r="G135" s="13"/>
      <c r="H135" s="107">
        <f>D130</f>
        <v>2352.7864836389917</v>
      </c>
    </row>
    <row r="136" spans="1:8" ht="15.75" x14ac:dyDescent="0.25">
      <c r="A136" s="108" t="s">
        <v>7</v>
      </c>
      <c r="B136" s="109" t="s">
        <v>152</v>
      </c>
      <c r="C136" s="109"/>
      <c r="D136" s="109"/>
      <c r="E136" s="13"/>
      <c r="F136" s="13"/>
      <c r="G136" s="13"/>
      <c r="H136" s="107">
        <f>H131</f>
        <v>2352.7864836389917</v>
      </c>
    </row>
    <row r="137" spans="1:8" ht="15.75" x14ac:dyDescent="0.25">
      <c r="A137" s="108" t="s">
        <v>17</v>
      </c>
      <c r="B137" s="7" t="s">
        <v>153</v>
      </c>
      <c r="C137" s="7"/>
      <c r="D137" s="109"/>
      <c r="E137" s="13"/>
      <c r="F137" s="13"/>
      <c r="G137" s="100">
        <v>12</v>
      </c>
      <c r="H137" s="107">
        <f>SUM(H136*G137)</f>
        <v>28233.437803667901</v>
      </c>
    </row>
    <row r="138" spans="1:8" ht="15.75" x14ac:dyDescent="0.25">
      <c r="A138" s="6"/>
      <c r="B138" s="6"/>
      <c r="C138" s="6"/>
      <c r="D138" s="6"/>
      <c r="E138" s="6"/>
      <c r="F138" s="6"/>
      <c r="G138" s="6"/>
      <c r="H138" s="6"/>
    </row>
    <row r="140" spans="1:8" x14ac:dyDescent="0.25">
      <c r="A140" s="149" t="s">
        <v>204</v>
      </c>
      <c r="B140" s="149"/>
    </row>
    <row r="141" spans="1:8" x14ac:dyDescent="0.25">
      <c r="A141" s="149" t="s">
        <v>205</v>
      </c>
      <c r="B141" s="149"/>
    </row>
    <row r="142" spans="1:8" x14ac:dyDescent="0.25">
      <c r="A142" s="149" t="s">
        <v>206</v>
      </c>
      <c r="B142" s="149"/>
    </row>
    <row r="143" spans="1:8" x14ac:dyDescent="0.25">
      <c r="A143" s="149"/>
      <c r="B143" s="149"/>
    </row>
    <row r="144" spans="1:8" x14ac:dyDescent="0.25">
      <c r="A144" s="149" t="s">
        <v>207</v>
      </c>
      <c r="B144" s="149"/>
    </row>
    <row r="146" spans="1:6" x14ac:dyDescent="0.25">
      <c r="A146" t="s">
        <v>208</v>
      </c>
    </row>
    <row r="147" spans="1:6" x14ac:dyDescent="0.25">
      <c r="A147" s="149" t="s">
        <v>209</v>
      </c>
    </row>
    <row r="148" spans="1:6" x14ac:dyDescent="0.25">
      <c r="A148" s="149" t="s">
        <v>210</v>
      </c>
    </row>
    <row r="149" spans="1:6" x14ac:dyDescent="0.25">
      <c r="A149" s="149"/>
    </row>
    <row r="150" spans="1:6" x14ac:dyDescent="0.25">
      <c r="A150" s="149" t="s">
        <v>211</v>
      </c>
    </row>
    <row r="151" spans="1:6" x14ac:dyDescent="0.25">
      <c r="A151" s="149"/>
    </row>
    <row r="152" spans="1:6" x14ac:dyDescent="0.25">
      <c r="A152" s="149" t="s">
        <v>212</v>
      </c>
    </row>
    <row r="153" spans="1:6" x14ac:dyDescent="0.25">
      <c r="A153" s="149" t="s">
        <v>213</v>
      </c>
    </row>
    <row r="154" spans="1:6" x14ac:dyDescent="0.25">
      <c r="A154" s="149"/>
    </row>
    <row r="155" spans="1:6" x14ac:dyDescent="0.25">
      <c r="A155" s="149" t="s">
        <v>207</v>
      </c>
    </row>
    <row r="156" spans="1:6" x14ac:dyDescent="0.25">
      <c r="A156" s="149" t="s">
        <v>223</v>
      </c>
    </row>
    <row r="157" spans="1:6" x14ac:dyDescent="0.25">
      <c r="B157" s="150" t="s">
        <v>214</v>
      </c>
      <c r="C157" s="151"/>
      <c r="D157" s="151"/>
      <c r="E157" s="151"/>
      <c r="F157" s="151"/>
    </row>
    <row r="158" spans="1:6" x14ac:dyDescent="0.25">
      <c r="B158" s="150"/>
      <c r="C158" s="151"/>
      <c r="D158" s="151"/>
      <c r="E158" s="151"/>
      <c r="F158" s="151"/>
    </row>
    <row r="159" spans="1:6" x14ac:dyDescent="0.25">
      <c r="B159" s="150" t="s">
        <v>215</v>
      </c>
      <c r="C159" s="151" t="s">
        <v>216</v>
      </c>
      <c r="D159" s="151" t="s">
        <v>217</v>
      </c>
      <c r="E159" s="151" t="s">
        <v>218</v>
      </c>
      <c r="F159" s="151" t="s">
        <v>219</v>
      </c>
    </row>
    <row r="160" spans="1:6" x14ac:dyDescent="0.25">
      <c r="B160" s="150" t="s">
        <v>220</v>
      </c>
      <c r="C160" s="152">
        <v>1.6500000000000001E-2</v>
      </c>
      <c r="D160" s="152">
        <v>7.5999999999999998E-2</v>
      </c>
      <c r="E160" s="153">
        <v>0.05</v>
      </c>
      <c r="F160" s="151">
        <v>0.85750000000000004</v>
      </c>
    </row>
    <row r="161" spans="1:6" x14ac:dyDescent="0.25">
      <c r="B161" s="150" t="s">
        <v>221</v>
      </c>
      <c r="C161" s="152">
        <v>6.4999999999999997E-3</v>
      </c>
      <c r="D161" s="153">
        <v>0.03</v>
      </c>
      <c r="E161" s="153">
        <v>0.05</v>
      </c>
      <c r="F161" s="151">
        <v>0.91349999999999998</v>
      </c>
    </row>
    <row r="162" spans="1:6" x14ac:dyDescent="0.25">
      <c r="B162" s="150" t="s">
        <v>222</v>
      </c>
      <c r="C162" s="152">
        <v>4.4000000000000003E-3</v>
      </c>
      <c r="D162" s="152">
        <v>2.35E-2</v>
      </c>
      <c r="E162" s="153">
        <v>0.05</v>
      </c>
      <c r="F162" s="151">
        <v>0.92210000000000003</v>
      </c>
    </row>
    <row r="164" spans="1:6" x14ac:dyDescent="0.25">
      <c r="A164" s="155" t="s">
        <v>225</v>
      </c>
    </row>
  </sheetData>
  <mergeCells count="51">
    <mergeCell ref="B118:H118"/>
    <mergeCell ref="B127:H127"/>
    <mergeCell ref="B133:H133"/>
    <mergeCell ref="C84:C89"/>
    <mergeCell ref="E84:E89"/>
    <mergeCell ref="B93:H93"/>
    <mergeCell ref="A97:H97"/>
    <mergeCell ref="B101:H101"/>
    <mergeCell ref="B108:H108"/>
    <mergeCell ref="B82:H82"/>
    <mergeCell ref="A60:A62"/>
    <mergeCell ref="D60:D61"/>
    <mergeCell ref="E60:E61"/>
    <mergeCell ref="F60:F61"/>
    <mergeCell ref="G60:G61"/>
    <mergeCell ref="B62:E62"/>
    <mergeCell ref="B63:E63"/>
    <mergeCell ref="B67:E67"/>
    <mergeCell ref="A68:H68"/>
    <mergeCell ref="B73:H73"/>
    <mergeCell ref="B81:H81"/>
    <mergeCell ref="B55:H55"/>
    <mergeCell ref="A57:A59"/>
    <mergeCell ref="D57:D58"/>
    <mergeCell ref="E57:E58"/>
    <mergeCell ref="F57:F58"/>
    <mergeCell ref="G57:G58"/>
    <mergeCell ref="D47:E48"/>
    <mergeCell ref="E18:H18"/>
    <mergeCell ref="B19:H19"/>
    <mergeCell ref="A20:H20"/>
    <mergeCell ref="D21:H21"/>
    <mergeCell ref="D22:H22"/>
    <mergeCell ref="D24:H24"/>
    <mergeCell ref="D25:H25"/>
    <mergeCell ref="B26:H26"/>
    <mergeCell ref="B39:H39"/>
    <mergeCell ref="B40:H40"/>
    <mergeCell ref="B45:H45"/>
    <mergeCell ref="E17:H17"/>
    <mergeCell ref="A3:H3"/>
    <mergeCell ref="E4:H6"/>
    <mergeCell ref="A7:D7"/>
    <mergeCell ref="A8:H8"/>
    <mergeCell ref="D9:H9"/>
    <mergeCell ref="D10:H10"/>
    <mergeCell ref="D11:H11"/>
    <mergeCell ref="D12:H12"/>
    <mergeCell ref="A14:H14"/>
    <mergeCell ref="E15:H15"/>
    <mergeCell ref="E16:H16"/>
  </mergeCells>
  <dataValidations count="4">
    <dataValidation type="list" operator="equal" allowBlank="1" showErrorMessage="1" sqref="D28">
      <formula1>$J$33:$J$34</formula1>
      <formula2>0</formula2>
    </dataValidation>
    <dataValidation type="list" operator="equal" allowBlank="1" showErrorMessage="1" sqref="E28">
      <formula1>$K$33:$K$34</formula1>
      <formula2>0</formula2>
    </dataValidation>
    <dataValidation type="list" operator="equal" allowBlank="1" showErrorMessage="1" sqref="D31">
      <formula1>$J$28:$J$31</formula1>
      <formula2>0</formula2>
    </dataValidation>
    <dataValidation type="list" operator="equal" allowBlank="1" showErrorMessage="1" promptTitle="Percentual" sqref="E31">
      <formula1>$K$28:$K$31</formula1>
      <formula2>0</formula2>
    </dataValidation>
  </dataValidations>
  <pageMargins left="0.7" right="0.7" top="0.75" bottom="0.75" header="0.3" footer="0.3"/>
  <pageSetup scale="45" orientation="portrait" r:id="rId1"/>
  <drawing r:id="rId2"/>
  <legacyDrawing r:id="rId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63"/>
  <sheetViews>
    <sheetView zoomScale="90" zoomScaleNormal="90" workbookViewId="0">
      <selection activeCell="I63" sqref="I63"/>
    </sheetView>
  </sheetViews>
  <sheetFormatPr defaultRowHeight="15" x14ac:dyDescent="0.25"/>
  <cols>
    <col min="1" max="1" width="4.85546875" bestFit="1" customWidth="1"/>
    <col min="2" max="2" width="54.85546875" customWidth="1"/>
    <col min="3" max="3" width="11.5703125" customWidth="1"/>
    <col min="4" max="4" width="34" customWidth="1"/>
    <col min="5" max="5" width="18" customWidth="1"/>
    <col min="6" max="6" width="25.28515625" bestFit="1" customWidth="1"/>
    <col min="7" max="7" width="15.5703125" bestFit="1" customWidth="1"/>
    <col min="8" max="8" width="27.5703125" bestFit="1" customWidth="1"/>
    <col min="9" max="9" width="12.7109375" customWidth="1"/>
    <col min="10" max="10" width="12.5703125" bestFit="1" customWidth="1"/>
  </cols>
  <sheetData>
    <row r="1" spans="1:8" x14ac:dyDescent="0.25">
      <c r="A1" s="1"/>
      <c r="B1" s="1"/>
      <c r="C1" s="1"/>
      <c r="D1" s="1"/>
      <c r="E1" s="1"/>
      <c r="F1" s="1"/>
      <c r="G1" s="1"/>
      <c r="H1" s="2"/>
    </row>
    <row r="2" spans="1:8" ht="15.75" x14ac:dyDescent="0.25">
      <c r="A2" s="3"/>
      <c r="B2" s="3" t="s">
        <v>0</v>
      </c>
      <c r="C2" s="3"/>
      <c r="D2" s="4"/>
      <c r="E2" s="3"/>
      <c r="F2" s="3" t="s">
        <v>2</v>
      </c>
      <c r="G2" s="3"/>
      <c r="H2" s="5"/>
    </row>
    <row r="3" spans="1:8" ht="15.75" x14ac:dyDescent="0.25">
      <c r="A3" s="269" t="s">
        <v>3</v>
      </c>
      <c r="B3" s="269"/>
      <c r="C3" s="269"/>
      <c r="D3" s="269"/>
      <c r="E3" s="269"/>
      <c r="F3" s="269"/>
      <c r="G3" s="269"/>
      <c r="H3" s="269"/>
    </row>
    <row r="4" spans="1:8" ht="15.75" x14ac:dyDescent="0.25">
      <c r="A4" s="6" t="s">
        <v>4</v>
      </c>
      <c r="B4" s="7" t="s">
        <v>5</v>
      </c>
      <c r="C4" s="7"/>
      <c r="D4" s="8"/>
      <c r="E4" s="287" t="s">
        <v>6</v>
      </c>
      <c r="F4" s="287"/>
      <c r="G4" s="287"/>
      <c r="H4" s="287"/>
    </row>
    <row r="5" spans="1:8" ht="15.75" x14ac:dyDescent="0.25">
      <c r="A5" s="6" t="s">
        <v>7</v>
      </c>
      <c r="B5" s="7" t="s">
        <v>8</v>
      </c>
      <c r="C5" s="7"/>
      <c r="D5" s="9"/>
      <c r="E5" s="287"/>
      <c r="F5" s="287"/>
      <c r="G5" s="287"/>
      <c r="H5" s="287"/>
    </row>
    <row r="6" spans="1:8" ht="15.75" x14ac:dyDescent="0.25">
      <c r="A6" s="6" t="s">
        <v>9</v>
      </c>
      <c r="B6" s="7" t="s">
        <v>10</v>
      </c>
      <c r="C6" s="7"/>
      <c r="D6" s="10"/>
      <c r="E6" s="287"/>
      <c r="F6" s="287"/>
      <c r="G6" s="287"/>
      <c r="H6" s="287"/>
    </row>
    <row r="7" spans="1:8" ht="15.75" x14ac:dyDescent="0.25">
      <c r="A7" s="288"/>
      <c r="B7" s="288"/>
      <c r="C7" s="288"/>
      <c r="D7" s="288"/>
      <c r="E7" s="11"/>
      <c r="F7" s="11"/>
      <c r="G7" s="11"/>
      <c r="H7" s="11"/>
    </row>
    <row r="8" spans="1:8" ht="15.75" x14ac:dyDescent="0.25">
      <c r="A8" s="269" t="s">
        <v>12</v>
      </c>
      <c r="B8" s="269"/>
      <c r="C8" s="269"/>
      <c r="D8" s="269"/>
      <c r="E8" s="269"/>
      <c r="F8" s="269"/>
      <c r="G8" s="269"/>
      <c r="H8" s="269"/>
    </row>
    <row r="9" spans="1:8" x14ac:dyDescent="0.25">
      <c r="A9" s="12" t="s">
        <v>4</v>
      </c>
      <c r="B9" s="13" t="s">
        <v>13</v>
      </c>
      <c r="C9" s="13"/>
      <c r="D9" s="294">
        <v>44301</v>
      </c>
      <c r="E9" s="281"/>
      <c r="F9" s="281"/>
      <c r="G9" s="281"/>
      <c r="H9" s="281"/>
    </row>
    <row r="10" spans="1:8" x14ac:dyDescent="0.25">
      <c r="A10" s="12" t="s">
        <v>7</v>
      </c>
      <c r="B10" s="13" t="s">
        <v>15</v>
      </c>
      <c r="C10" s="13"/>
      <c r="D10" s="289" t="s">
        <v>185</v>
      </c>
      <c r="E10" s="289"/>
      <c r="F10" s="289"/>
      <c r="G10" s="289"/>
      <c r="H10" s="289"/>
    </row>
    <row r="11" spans="1:8" x14ac:dyDescent="0.25">
      <c r="A11" s="12" t="s">
        <v>9</v>
      </c>
      <c r="B11" s="13" t="s">
        <v>16</v>
      </c>
      <c r="C11" s="13"/>
      <c r="D11" s="289" t="s">
        <v>263</v>
      </c>
      <c r="E11" s="289"/>
      <c r="F11" s="289"/>
      <c r="G11" s="289"/>
      <c r="H11" s="289"/>
    </row>
    <row r="12" spans="1:8" x14ac:dyDescent="0.25">
      <c r="A12" s="12" t="s">
        <v>17</v>
      </c>
      <c r="B12" s="13" t="s">
        <v>18</v>
      </c>
      <c r="C12" s="13"/>
      <c r="D12" s="289">
        <v>12</v>
      </c>
      <c r="E12" s="289"/>
      <c r="F12" s="289"/>
      <c r="G12" s="289"/>
      <c r="H12" s="289"/>
    </row>
    <row r="13" spans="1:8" x14ac:dyDescent="0.25">
      <c r="A13" s="12"/>
      <c r="B13" s="13"/>
      <c r="C13" s="13"/>
      <c r="D13" s="14"/>
      <c r="E13" s="14"/>
      <c r="F13" s="14"/>
      <c r="G13" s="14"/>
      <c r="H13" s="15"/>
    </row>
    <row r="14" spans="1:8" ht="15.75" x14ac:dyDescent="0.25">
      <c r="A14" s="269" t="s">
        <v>19</v>
      </c>
      <c r="B14" s="269"/>
      <c r="C14" s="269"/>
      <c r="D14" s="269"/>
      <c r="E14" s="269"/>
      <c r="F14" s="269"/>
      <c r="G14" s="269"/>
      <c r="H14" s="269"/>
    </row>
    <row r="15" spans="1:8" ht="15.75" x14ac:dyDescent="0.25">
      <c r="A15" s="12"/>
      <c r="B15" s="16" t="s">
        <v>20</v>
      </c>
      <c r="C15" s="16"/>
      <c r="D15" s="17" t="s">
        <v>21</v>
      </c>
      <c r="E15" s="290" t="s">
        <v>22</v>
      </c>
      <c r="F15" s="290"/>
      <c r="G15" s="290"/>
      <c r="H15" s="290"/>
    </row>
    <row r="16" spans="1:8" x14ac:dyDescent="0.25">
      <c r="A16" s="12" t="s">
        <v>4</v>
      </c>
      <c r="B16" s="18" t="s">
        <v>180</v>
      </c>
      <c r="C16" s="19"/>
      <c r="D16" s="20" t="s">
        <v>23</v>
      </c>
      <c r="E16" s="291">
        <v>1</v>
      </c>
      <c r="F16" s="291"/>
      <c r="G16" s="291"/>
      <c r="H16" s="291"/>
    </row>
    <row r="17" spans="1:8" x14ac:dyDescent="0.25">
      <c r="A17" s="12" t="s">
        <v>7</v>
      </c>
      <c r="B17" s="13"/>
      <c r="C17" s="13"/>
      <c r="D17" s="21"/>
      <c r="E17" s="279"/>
      <c r="F17" s="279"/>
      <c r="G17" s="279"/>
      <c r="H17" s="279"/>
    </row>
    <row r="18" spans="1:8" x14ac:dyDescent="0.25">
      <c r="A18" s="12" t="s">
        <v>9</v>
      </c>
      <c r="B18" s="13"/>
      <c r="C18" s="13"/>
      <c r="D18" s="21"/>
      <c r="E18" s="279"/>
      <c r="F18" s="279"/>
      <c r="G18" s="279"/>
      <c r="H18" s="279"/>
    </row>
    <row r="19" spans="1:8" ht="15.75" x14ac:dyDescent="0.25">
      <c r="A19" s="110"/>
      <c r="B19" s="269" t="s">
        <v>24</v>
      </c>
      <c r="C19" s="269"/>
      <c r="D19" s="269"/>
      <c r="E19" s="269"/>
      <c r="F19" s="269"/>
      <c r="G19" s="269"/>
      <c r="H19" s="269"/>
    </row>
    <row r="20" spans="1:8" ht="15.75" x14ac:dyDescent="0.25">
      <c r="A20" s="280" t="s">
        <v>25</v>
      </c>
      <c r="B20" s="280"/>
      <c r="C20" s="280"/>
      <c r="D20" s="280"/>
      <c r="E20" s="280"/>
      <c r="F20" s="280"/>
      <c r="G20" s="280"/>
      <c r="H20" s="280"/>
    </row>
    <row r="21" spans="1:8" x14ac:dyDescent="0.25">
      <c r="A21" s="12">
        <v>1</v>
      </c>
      <c r="B21" s="13" t="s">
        <v>20</v>
      </c>
      <c r="C21" s="13"/>
      <c r="D21" s="281" t="s">
        <v>250</v>
      </c>
      <c r="E21" s="281"/>
      <c r="F21" s="281"/>
      <c r="G21" s="281"/>
      <c r="H21" s="281"/>
    </row>
    <row r="22" spans="1:8" x14ac:dyDescent="0.25">
      <c r="A22" s="12">
        <v>2</v>
      </c>
      <c r="B22" s="13" t="s">
        <v>26</v>
      </c>
      <c r="C22" s="13"/>
      <c r="D22" s="282" t="s">
        <v>242</v>
      </c>
      <c r="E22" s="282"/>
      <c r="F22" s="282"/>
      <c r="G22" s="282"/>
      <c r="H22" s="282"/>
    </row>
    <row r="23" spans="1:8" x14ac:dyDescent="0.25">
      <c r="A23" s="12">
        <v>3</v>
      </c>
      <c r="B23" s="13" t="s">
        <v>27</v>
      </c>
      <c r="C23" s="13"/>
      <c r="D23" s="22">
        <v>1144.18</v>
      </c>
      <c r="E23" s="23"/>
      <c r="F23" s="23"/>
      <c r="G23" s="23"/>
      <c r="H23" s="23"/>
    </row>
    <row r="24" spans="1:8" ht="30" x14ac:dyDescent="0.25">
      <c r="A24" s="1">
        <v>4</v>
      </c>
      <c r="B24" s="24" t="s">
        <v>28</v>
      </c>
      <c r="C24" s="24"/>
      <c r="D24" s="283" t="s">
        <v>264</v>
      </c>
      <c r="E24" s="283"/>
      <c r="F24" s="283"/>
      <c r="G24" s="283"/>
      <c r="H24" s="283"/>
    </row>
    <row r="25" spans="1:8" x14ac:dyDescent="0.25">
      <c r="A25" s="1">
        <v>5</v>
      </c>
      <c r="B25" s="25" t="s">
        <v>29</v>
      </c>
      <c r="C25" s="25"/>
      <c r="D25" s="284" t="s">
        <v>265</v>
      </c>
      <c r="E25" s="284"/>
      <c r="F25" s="284"/>
      <c r="G25" s="284"/>
      <c r="H25" s="284"/>
    </row>
    <row r="26" spans="1:8" ht="15.75" x14ac:dyDescent="0.25">
      <c r="A26" s="188">
        <v>1</v>
      </c>
      <c r="B26" s="295" t="s">
        <v>30</v>
      </c>
      <c r="C26" s="295"/>
      <c r="D26" s="295"/>
      <c r="E26" s="295"/>
      <c r="F26" s="295"/>
      <c r="G26" s="295"/>
      <c r="H26" s="295"/>
    </row>
    <row r="27" spans="1:8" ht="15.75" x14ac:dyDescent="0.25">
      <c r="A27" s="174" t="s">
        <v>4</v>
      </c>
      <c r="B27" s="176" t="s">
        <v>31</v>
      </c>
      <c r="C27" s="176"/>
      <c r="D27" s="176"/>
      <c r="E27" s="205"/>
      <c r="F27" s="205"/>
      <c r="G27" s="177"/>
      <c r="H27" s="243">
        <f>D23</f>
        <v>1144.18</v>
      </c>
    </row>
    <row r="28" spans="1:8" ht="15.75" x14ac:dyDescent="0.25">
      <c r="A28" s="174" t="s">
        <v>7</v>
      </c>
      <c r="B28" s="176" t="s">
        <v>32</v>
      </c>
      <c r="C28" s="176"/>
      <c r="D28" s="244" t="s">
        <v>33</v>
      </c>
      <c r="E28" s="245">
        <v>0</v>
      </c>
      <c r="F28" s="205"/>
      <c r="G28" s="205"/>
      <c r="H28" s="246">
        <f>H27*E28</f>
        <v>0</v>
      </c>
    </row>
    <row r="29" spans="1:8" ht="15.75" x14ac:dyDescent="0.25">
      <c r="A29" s="174" t="s">
        <v>9</v>
      </c>
      <c r="B29" s="176" t="s">
        <v>34</v>
      </c>
      <c r="C29" s="176"/>
      <c r="D29" s="247" t="s">
        <v>35</v>
      </c>
      <c r="E29" s="248" t="s">
        <v>36</v>
      </c>
      <c r="F29" s="247" t="s">
        <v>37</v>
      </c>
      <c r="G29" s="198"/>
      <c r="H29" s="246">
        <f>E30*F30</f>
        <v>0</v>
      </c>
    </row>
    <row r="30" spans="1:8" ht="15.75" x14ac:dyDescent="0.25">
      <c r="A30" s="174" t="s">
        <v>17</v>
      </c>
      <c r="B30" s="176" t="s">
        <v>38</v>
      </c>
      <c r="C30" s="176"/>
      <c r="D30" s="244" t="s">
        <v>39</v>
      </c>
      <c r="E30" s="249">
        <v>0</v>
      </c>
      <c r="F30" s="250"/>
      <c r="G30" s="176"/>
      <c r="H30" s="251"/>
    </row>
    <row r="31" spans="1:8" ht="15.75" x14ac:dyDescent="0.25">
      <c r="A31" s="174" t="s">
        <v>40</v>
      </c>
      <c r="B31" s="176" t="s">
        <v>41</v>
      </c>
      <c r="C31" s="176"/>
      <c r="D31" s="205"/>
      <c r="E31" s="205"/>
      <c r="F31" s="205"/>
      <c r="G31" s="198"/>
      <c r="H31" s="251"/>
    </row>
    <row r="32" spans="1:8" ht="15.75" x14ac:dyDescent="0.25">
      <c r="A32" s="174" t="s">
        <v>42</v>
      </c>
      <c r="B32" s="176" t="s">
        <v>159</v>
      </c>
      <c r="C32" s="176"/>
      <c r="D32" s="205"/>
      <c r="E32" s="205"/>
      <c r="F32" s="205"/>
      <c r="G32" s="198"/>
      <c r="H32" s="251"/>
    </row>
    <row r="33" spans="1:10" ht="15.75" x14ac:dyDescent="0.25">
      <c r="A33" s="174" t="s">
        <v>61</v>
      </c>
      <c r="B33" s="176" t="s">
        <v>155</v>
      </c>
      <c r="C33" s="176"/>
      <c r="D33" s="205"/>
      <c r="E33" s="205"/>
      <c r="F33" s="205"/>
      <c r="G33" s="198"/>
      <c r="H33" s="251"/>
    </row>
    <row r="34" spans="1:10" ht="15.75" x14ac:dyDescent="0.25">
      <c r="A34" s="174" t="s">
        <v>43</v>
      </c>
      <c r="B34" s="175" t="s">
        <v>160</v>
      </c>
      <c r="C34" s="175"/>
      <c r="D34" s="205"/>
      <c r="E34" s="205"/>
      <c r="F34" s="205"/>
      <c r="G34" s="198"/>
      <c r="H34" s="251"/>
    </row>
    <row r="35" spans="1:10" ht="15.75" x14ac:dyDescent="0.25">
      <c r="A35" s="174" t="s">
        <v>161</v>
      </c>
      <c r="B35" s="175" t="s">
        <v>162</v>
      </c>
      <c r="C35" s="175"/>
      <c r="D35" s="205"/>
      <c r="E35" s="205"/>
      <c r="F35" s="205"/>
      <c r="G35" s="198"/>
      <c r="H35" s="251"/>
      <c r="J35" s="121"/>
    </row>
    <row r="36" spans="1:10" ht="15.75" x14ac:dyDescent="0.25">
      <c r="A36" s="174" t="s">
        <v>19</v>
      </c>
      <c r="B36" s="176" t="s">
        <v>44</v>
      </c>
      <c r="C36" s="176"/>
      <c r="D36" s="176"/>
      <c r="E36" s="176"/>
      <c r="F36" s="198"/>
      <c r="G36" s="198"/>
      <c r="H36" s="198">
        <v>0</v>
      </c>
    </row>
    <row r="37" spans="1:10" ht="15.75" x14ac:dyDescent="0.25">
      <c r="A37" s="39"/>
      <c r="B37" s="40" t="s">
        <v>45</v>
      </c>
      <c r="C37" s="40"/>
      <c r="D37" s="41"/>
      <c r="E37" s="41"/>
      <c r="F37" s="42"/>
      <c r="G37" s="42"/>
      <c r="H37" s="43">
        <f>SUM(H27:H36)</f>
        <v>1144.18</v>
      </c>
    </row>
    <row r="38" spans="1:10" ht="15.75" x14ac:dyDescent="0.25">
      <c r="A38" s="44">
        <v>2</v>
      </c>
      <c r="B38" s="285" t="s">
        <v>46</v>
      </c>
      <c r="C38" s="285"/>
      <c r="D38" s="285"/>
      <c r="E38" s="285"/>
      <c r="F38" s="285"/>
      <c r="G38" s="285"/>
      <c r="H38" s="285"/>
    </row>
    <row r="39" spans="1:10" ht="15.75" x14ac:dyDescent="0.25">
      <c r="A39" s="124" t="s">
        <v>47</v>
      </c>
      <c r="B39" s="286" t="s">
        <v>48</v>
      </c>
      <c r="C39" s="286"/>
      <c r="D39" s="286"/>
      <c r="E39" s="286"/>
      <c r="F39" s="286"/>
      <c r="G39" s="286"/>
      <c r="H39" s="286"/>
    </row>
    <row r="40" spans="1:10" ht="15.75" x14ac:dyDescent="0.25">
      <c r="A40" s="1" t="s">
        <v>4</v>
      </c>
      <c r="B40" s="8" t="s">
        <v>49</v>
      </c>
      <c r="C40" s="8"/>
      <c r="D40" s="8"/>
      <c r="E40" s="27"/>
      <c r="F40" s="28"/>
      <c r="G40" s="45">
        <v>8.3330000000000001E-2</v>
      </c>
      <c r="H40" s="28">
        <f>SUM($H$37*G40)</f>
        <v>95.34451940000001</v>
      </c>
    </row>
    <row r="41" spans="1:10" ht="15.75" x14ac:dyDescent="0.25">
      <c r="A41" s="1" t="s">
        <v>7</v>
      </c>
      <c r="B41" s="27" t="s">
        <v>50</v>
      </c>
      <c r="C41" s="27"/>
      <c r="D41" s="27"/>
      <c r="E41" s="27"/>
      <c r="F41" s="46"/>
      <c r="G41" s="47">
        <v>0.121</v>
      </c>
      <c r="H41" s="28">
        <f>SUM($H$37*G41)</f>
        <v>138.44578000000001</v>
      </c>
    </row>
    <row r="42" spans="1:10" ht="15.75" x14ac:dyDescent="0.25">
      <c r="A42" s="1" t="s">
        <v>9</v>
      </c>
      <c r="B42" s="48" t="s">
        <v>51</v>
      </c>
      <c r="C42" s="48"/>
      <c r="D42" s="27"/>
      <c r="E42" s="27"/>
      <c r="F42" s="46"/>
      <c r="G42" s="47">
        <f>SUM(G40:G41)*G53</f>
        <v>7.5193440000000028E-2</v>
      </c>
      <c r="H42" s="28">
        <f>SUM(H40:H41)*G53</f>
        <v>86.034830179200043</v>
      </c>
    </row>
    <row r="43" spans="1:10" ht="15.75" x14ac:dyDescent="0.25">
      <c r="A43" s="49"/>
      <c r="B43" s="50" t="s">
        <v>45</v>
      </c>
      <c r="C43" s="40"/>
      <c r="D43" s="41"/>
      <c r="E43" s="41"/>
      <c r="F43" s="42"/>
      <c r="G43" s="42"/>
      <c r="H43" s="43">
        <f>SUM(H40:H42)</f>
        <v>319.82512957920005</v>
      </c>
    </row>
    <row r="44" spans="1:10" ht="15.75" x14ac:dyDescent="0.25">
      <c r="A44" s="110" t="s">
        <v>52</v>
      </c>
      <c r="B44" s="269" t="s">
        <v>53</v>
      </c>
      <c r="C44" s="269"/>
      <c r="D44" s="269"/>
      <c r="E44" s="269"/>
      <c r="F44" s="269"/>
      <c r="G44" s="269"/>
      <c r="H44" s="269"/>
    </row>
    <row r="45" spans="1:10" ht="15.75" x14ac:dyDescent="0.25">
      <c r="A45" s="1" t="s">
        <v>4</v>
      </c>
      <c r="B45" s="51" t="s">
        <v>54</v>
      </c>
      <c r="C45" s="51"/>
      <c r="D45" s="27"/>
      <c r="E45" s="27"/>
      <c r="F45" s="28"/>
      <c r="G45" s="45">
        <v>0.2</v>
      </c>
      <c r="H45" s="28">
        <f t="shared" ref="H45:H52" si="0">SUM($H$37*G45)</f>
        <v>228.83600000000001</v>
      </c>
    </row>
    <row r="46" spans="1:10" ht="15.75" x14ac:dyDescent="0.25">
      <c r="A46" s="1" t="s">
        <v>7</v>
      </c>
      <c r="B46" s="51" t="s">
        <v>55</v>
      </c>
      <c r="C46" s="51"/>
      <c r="D46" s="278" t="s">
        <v>56</v>
      </c>
      <c r="E46" s="278"/>
      <c r="F46" s="28"/>
      <c r="G46" s="162">
        <v>1.4999999999999999E-2</v>
      </c>
      <c r="H46" s="28">
        <f t="shared" si="0"/>
        <v>17.162700000000001</v>
      </c>
    </row>
    <row r="47" spans="1:10" ht="15.75" x14ac:dyDescent="0.25">
      <c r="A47" s="1" t="s">
        <v>9</v>
      </c>
      <c r="B47" s="51" t="s">
        <v>57</v>
      </c>
      <c r="C47" s="51"/>
      <c r="D47" s="278"/>
      <c r="E47" s="278"/>
      <c r="F47" s="28"/>
      <c r="G47" s="162">
        <v>0.01</v>
      </c>
      <c r="H47" s="28">
        <f t="shared" si="0"/>
        <v>11.441800000000001</v>
      </c>
      <c r="I47" s="115"/>
    </row>
    <row r="48" spans="1:10" ht="15.75" x14ac:dyDescent="0.25">
      <c r="A48" s="1" t="s">
        <v>17</v>
      </c>
      <c r="B48" s="51" t="s">
        <v>58</v>
      </c>
      <c r="C48" s="51"/>
      <c r="D48" s="27"/>
      <c r="E48" s="27"/>
      <c r="F48" s="28"/>
      <c r="G48" s="162">
        <v>2E-3</v>
      </c>
      <c r="H48" s="28">
        <f t="shared" si="0"/>
        <v>2.2883600000000004</v>
      </c>
    </row>
    <row r="49" spans="1:9" ht="15.75" x14ac:dyDescent="0.25">
      <c r="A49" s="1" t="s">
        <v>40</v>
      </c>
      <c r="B49" s="51" t="s">
        <v>59</v>
      </c>
      <c r="C49" s="51"/>
      <c r="D49" s="27"/>
      <c r="E49" s="27"/>
      <c r="F49" s="28"/>
      <c r="G49" s="162">
        <v>2.5000000000000001E-2</v>
      </c>
      <c r="H49" s="28">
        <f t="shared" si="0"/>
        <v>28.604500000000002</v>
      </c>
    </row>
    <row r="50" spans="1:9" ht="15.75" x14ac:dyDescent="0.25">
      <c r="A50" s="1" t="s">
        <v>42</v>
      </c>
      <c r="B50" s="51" t="s">
        <v>60</v>
      </c>
      <c r="C50" s="51"/>
      <c r="D50" s="27"/>
      <c r="E50" s="27"/>
      <c r="F50" s="28"/>
      <c r="G50" s="45">
        <v>0.08</v>
      </c>
      <c r="H50" s="28">
        <f t="shared" si="0"/>
        <v>91.534400000000005</v>
      </c>
    </row>
    <row r="51" spans="1:9" ht="15.75" x14ac:dyDescent="0.25">
      <c r="A51" s="158" t="s">
        <v>61</v>
      </c>
      <c r="B51" s="159" t="s">
        <v>62</v>
      </c>
      <c r="C51" s="159"/>
      <c r="D51" s="160"/>
      <c r="E51" s="160"/>
      <c r="F51" s="160"/>
      <c r="G51" s="259">
        <v>0.03</v>
      </c>
      <c r="H51" s="161">
        <f t="shared" si="0"/>
        <v>34.325400000000002</v>
      </c>
    </row>
    <row r="52" spans="1:9" ht="15.75" x14ac:dyDescent="0.25">
      <c r="A52" s="1" t="s">
        <v>43</v>
      </c>
      <c r="B52" s="51" t="s">
        <v>63</v>
      </c>
      <c r="C52" s="51"/>
      <c r="D52" s="27"/>
      <c r="E52" s="27"/>
      <c r="F52" s="28"/>
      <c r="G52" s="162">
        <v>6.0000000000000001E-3</v>
      </c>
      <c r="H52" s="28">
        <f t="shared" si="0"/>
        <v>6.8650800000000007</v>
      </c>
    </row>
    <row r="53" spans="1:9" ht="15.75" x14ac:dyDescent="0.25">
      <c r="A53" s="54"/>
      <c r="B53" s="55" t="s">
        <v>45</v>
      </c>
      <c r="C53" s="55"/>
      <c r="D53" s="40"/>
      <c r="E53" s="40"/>
      <c r="F53" s="56"/>
      <c r="G53" s="57">
        <f>SUM(G45:G52)</f>
        <v>0.3680000000000001</v>
      </c>
      <c r="H53" s="58">
        <f>SUM(H45:H52)</f>
        <v>421.05824000000007</v>
      </c>
    </row>
    <row r="54" spans="1:9" ht="15.75" x14ac:dyDescent="0.25">
      <c r="A54" s="110" t="s">
        <v>64</v>
      </c>
      <c r="B54" s="269" t="s">
        <v>65</v>
      </c>
      <c r="C54" s="269"/>
      <c r="D54" s="269"/>
      <c r="E54" s="269"/>
      <c r="F54" s="269"/>
      <c r="G54" s="269"/>
      <c r="H54" s="269"/>
    </row>
    <row r="55" spans="1:9" ht="15.75" x14ac:dyDescent="0.25">
      <c r="A55" s="6" t="s">
        <v>66</v>
      </c>
      <c r="B55" s="59"/>
      <c r="C55" s="59"/>
      <c r="D55" s="60" t="s">
        <v>67</v>
      </c>
      <c r="E55" s="60" t="s">
        <v>68</v>
      </c>
      <c r="F55" s="60" t="s">
        <v>69</v>
      </c>
      <c r="G55" s="60" t="s">
        <v>70</v>
      </c>
      <c r="H55" s="6"/>
    </row>
    <row r="56" spans="1:9" ht="15.75" x14ac:dyDescent="0.25">
      <c r="A56" s="270" t="s">
        <v>4</v>
      </c>
      <c r="B56" s="6" t="s">
        <v>71</v>
      </c>
      <c r="C56" s="6"/>
      <c r="D56" s="271">
        <v>0</v>
      </c>
      <c r="E56" s="272"/>
      <c r="F56" s="273"/>
      <c r="G56" s="274">
        <v>0</v>
      </c>
      <c r="H56" s="35">
        <f>F56*E56*D56</f>
        <v>0</v>
      </c>
      <c r="I56" t="s">
        <v>256</v>
      </c>
    </row>
    <row r="57" spans="1:9" ht="15.75" x14ac:dyDescent="0.25">
      <c r="A57" s="270"/>
      <c r="B57" s="6" t="s">
        <v>72</v>
      </c>
      <c r="C57" s="6"/>
      <c r="D57" s="271"/>
      <c r="E57" s="271"/>
      <c r="F57" s="271"/>
      <c r="G57" s="271"/>
      <c r="H57" s="35">
        <f>H27*G56</f>
        <v>0</v>
      </c>
    </row>
    <row r="58" spans="1:9" ht="15.75" x14ac:dyDescent="0.25">
      <c r="A58" s="270"/>
      <c r="B58" s="8" t="s">
        <v>73</v>
      </c>
      <c r="C58" s="8"/>
      <c r="D58" s="8"/>
      <c r="E58" s="27"/>
      <c r="F58" s="27"/>
      <c r="G58" s="61"/>
      <c r="H58" s="35">
        <f>H56-H57</f>
        <v>0</v>
      </c>
    </row>
    <row r="59" spans="1:9" ht="15.75" x14ac:dyDescent="0.25">
      <c r="A59" s="270" t="s">
        <v>7</v>
      </c>
      <c r="B59" s="6" t="s">
        <v>74</v>
      </c>
      <c r="C59" s="6"/>
      <c r="D59" s="296">
        <v>1</v>
      </c>
      <c r="E59" s="297">
        <v>1</v>
      </c>
      <c r="F59" s="298">
        <v>175.25</v>
      </c>
      <c r="G59" s="274">
        <v>0.2</v>
      </c>
      <c r="H59" s="35">
        <f>F59*E59*D59</f>
        <v>175.25</v>
      </c>
    </row>
    <row r="60" spans="1:9" ht="15.75" x14ac:dyDescent="0.25">
      <c r="A60" s="270"/>
      <c r="B60" s="6" t="s">
        <v>72</v>
      </c>
      <c r="C60" s="6"/>
      <c r="D60" s="296"/>
      <c r="E60" s="296"/>
      <c r="F60" s="296"/>
      <c r="G60" s="271"/>
      <c r="H60" s="35">
        <f>H59*G59</f>
        <v>35.050000000000004</v>
      </c>
    </row>
    <row r="61" spans="1:9" ht="15.75" x14ac:dyDescent="0.25">
      <c r="A61" s="270"/>
      <c r="B61" s="275" t="s">
        <v>75</v>
      </c>
      <c r="C61" s="275"/>
      <c r="D61" s="275"/>
      <c r="E61" s="275"/>
      <c r="F61" s="13"/>
      <c r="G61" s="13"/>
      <c r="H61" s="35">
        <f>H59-H60</f>
        <v>140.19999999999999</v>
      </c>
    </row>
    <row r="62" spans="1:9" ht="15.75" x14ac:dyDescent="0.25">
      <c r="A62" s="62" t="s">
        <v>9</v>
      </c>
      <c r="B62" s="275" t="s">
        <v>267</v>
      </c>
      <c r="C62" s="275"/>
      <c r="D62" s="275"/>
      <c r="E62" s="275"/>
      <c r="F62" s="13"/>
      <c r="G62" s="13"/>
      <c r="H62" s="35">
        <v>100</v>
      </c>
    </row>
    <row r="63" spans="1:9" ht="15.75" x14ac:dyDescent="0.25">
      <c r="A63" s="62" t="s">
        <v>17</v>
      </c>
      <c r="B63" s="117" t="s">
        <v>251</v>
      </c>
      <c r="C63" s="117"/>
      <c r="D63" s="117"/>
      <c r="E63" s="117" t="s">
        <v>163</v>
      </c>
      <c r="F63" s="13"/>
      <c r="G63" s="13"/>
      <c r="H63" s="35">
        <v>11</v>
      </c>
    </row>
    <row r="64" spans="1:9" ht="15.75" x14ac:dyDescent="0.25">
      <c r="A64" s="62" t="s">
        <v>40</v>
      </c>
      <c r="B64" s="116" t="s">
        <v>224</v>
      </c>
      <c r="C64" s="117"/>
      <c r="D64" s="117"/>
      <c r="E64" s="117"/>
      <c r="F64" s="13"/>
      <c r="G64" s="13"/>
      <c r="H64" s="35">
        <v>4.0599999999999996</v>
      </c>
    </row>
    <row r="65" spans="1:13" ht="15.75" x14ac:dyDescent="0.25">
      <c r="A65" s="62" t="s">
        <v>42</v>
      </c>
      <c r="B65" s="116" t="s">
        <v>266</v>
      </c>
      <c r="C65" s="116"/>
      <c r="D65" s="116"/>
      <c r="E65" s="118"/>
      <c r="H65" s="260">
        <v>0</v>
      </c>
      <c r="J65" s="125"/>
      <c r="K65" s="13"/>
      <c r="L65" s="13"/>
      <c r="M65" s="35"/>
    </row>
    <row r="66" spans="1:13" ht="15.75" x14ac:dyDescent="0.25">
      <c r="A66" s="63"/>
      <c r="B66" s="276" t="s">
        <v>45</v>
      </c>
      <c r="C66" s="276"/>
      <c r="D66" s="276"/>
      <c r="E66" s="276"/>
      <c r="F66" s="64"/>
      <c r="G66" s="64"/>
      <c r="H66" s="65">
        <f>H58+H61+H62+H63+H65+H64</f>
        <v>255.26</v>
      </c>
    </row>
    <row r="67" spans="1:13" ht="15.75" x14ac:dyDescent="0.25">
      <c r="A67" s="269" t="s">
        <v>79</v>
      </c>
      <c r="B67" s="269"/>
      <c r="C67" s="269"/>
      <c r="D67" s="269"/>
      <c r="E67" s="269"/>
      <c r="F67" s="269"/>
      <c r="G67" s="269"/>
      <c r="H67" s="269"/>
    </row>
    <row r="68" spans="1:13" ht="15.75" x14ac:dyDescent="0.25">
      <c r="A68" s="62" t="s">
        <v>47</v>
      </c>
      <c r="B68" s="8" t="s">
        <v>80</v>
      </c>
      <c r="C68" s="8"/>
      <c r="D68" s="66"/>
      <c r="E68" s="66"/>
      <c r="F68" s="13"/>
      <c r="G68" s="13"/>
      <c r="H68" s="67">
        <f>H43</f>
        <v>319.82512957920005</v>
      </c>
    </row>
    <row r="69" spans="1:13" ht="15.75" x14ac:dyDescent="0.25">
      <c r="A69" s="62" t="s">
        <v>52</v>
      </c>
      <c r="B69" s="8" t="s">
        <v>81</v>
      </c>
      <c r="C69" s="8"/>
      <c r="D69" s="66"/>
      <c r="E69" s="66"/>
      <c r="F69" s="13"/>
      <c r="G69" s="13"/>
      <c r="H69" s="67">
        <f>H53</f>
        <v>421.05824000000007</v>
      </c>
    </row>
    <row r="70" spans="1:13" ht="15.75" x14ac:dyDescent="0.25">
      <c r="A70" s="62" t="s">
        <v>64</v>
      </c>
      <c r="B70" s="8" t="s">
        <v>82</v>
      </c>
      <c r="C70" s="8"/>
      <c r="D70" s="66"/>
      <c r="E70" s="66"/>
      <c r="F70" s="13"/>
      <c r="G70" s="13"/>
      <c r="H70" s="67">
        <f>H66</f>
        <v>255.26</v>
      </c>
    </row>
    <row r="71" spans="1:13" ht="15.75" x14ac:dyDescent="0.25">
      <c r="A71" s="63"/>
      <c r="B71" s="126" t="s">
        <v>45</v>
      </c>
      <c r="C71" s="126"/>
      <c r="D71" s="126"/>
      <c r="E71" s="126"/>
      <c r="F71" s="64"/>
      <c r="G71" s="64"/>
      <c r="H71" s="65">
        <f>SUM(H68:H70)</f>
        <v>996.14336957920011</v>
      </c>
    </row>
    <row r="72" spans="1:13" ht="15.75" x14ac:dyDescent="0.25">
      <c r="A72" s="68">
        <v>3</v>
      </c>
      <c r="B72" s="267" t="s">
        <v>83</v>
      </c>
      <c r="C72" s="267"/>
      <c r="D72" s="267"/>
      <c r="E72" s="267"/>
      <c r="F72" s="267"/>
      <c r="G72" s="267"/>
      <c r="H72" s="267"/>
    </row>
    <row r="73" spans="1:13" ht="15.75" x14ac:dyDescent="0.25">
      <c r="A73" s="1" t="s">
        <v>4</v>
      </c>
      <c r="B73" s="48" t="s">
        <v>84</v>
      </c>
      <c r="C73" s="48"/>
      <c r="D73" s="69"/>
      <c r="E73" s="69"/>
      <c r="F73" s="69"/>
      <c r="G73" s="45">
        <f>1/12*5%</f>
        <v>4.1666666666666666E-3</v>
      </c>
      <c r="H73" s="28">
        <f>SUM($H$37*G73)</f>
        <v>4.7674166666666666</v>
      </c>
    </row>
    <row r="74" spans="1:13" ht="15.75" x14ac:dyDescent="0.25">
      <c r="A74" s="1" t="s">
        <v>7</v>
      </c>
      <c r="B74" s="48" t="s">
        <v>85</v>
      </c>
      <c r="C74" s="48"/>
      <c r="D74" s="27"/>
      <c r="E74" s="27"/>
      <c r="F74" s="28"/>
      <c r="G74" s="45">
        <f>G73*0.08</f>
        <v>3.3333333333333332E-4</v>
      </c>
      <c r="H74" s="28">
        <f>SUM($H$37*G74)</f>
        <v>0.38139333333333336</v>
      </c>
      <c r="I74" s="115"/>
    </row>
    <row r="75" spans="1:13" ht="15.75" x14ac:dyDescent="0.25">
      <c r="A75" s="1" t="s">
        <v>9</v>
      </c>
      <c r="B75" s="48" t="s">
        <v>254</v>
      </c>
      <c r="C75" s="48"/>
      <c r="D75" s="70"/>
      <c r="E75" s="70"/>
      <c r="F75" s="70"/>
      <c r="G75" s="164">
        <f>(0.08*0.4*0.9)*(1+0.0833+0.121)</f>
        <v>3.4683840000000001E-2</v>
      </c>
      <c r="H75" s="72">
        <f>(ROUND(SUM($H$37*G75),2))</f>
        <v>39.68</v>
      </c>
      <c r="J75" s="122"/>
    </row>
    <row r="76" spans="1:13" ht="15.75" x14ac:dyDescent="0.25">
      <c r="A76" s="1" t="s">
        <v>17</v>
      </c>
      <c r="B76" s="27" t="s">
        <v>87</v>
      </c>
      <c r="C76" s="27"/>
      <c r="D76" s="69"/>
      <c r="E76" s="69"/>
      <c r="F76" s="69"/>
      <c r="G76" s="45">
        <v>1.9400000000000001E-2</v>
      </c>
      <c r="H76" s="28">
        <f>SUM($H$37*G76)</f>
        <v>22.197092000000001</v>
      </c>
    </row>
    <row r="77" spans="1:13" ht="15.75" x14ac:dyDescent="0.25">
      <c r="A77" s="1" t="s">
        <v>40</v>
      </c>
      <c r="B77" s="48" t="s">
        <v>226</v>
      </c>
      <c r="C77" s="48"/>
      <c r="D77" s="27"/>
      <c r="E77" s="27"/>
      <c r="F77" s="28"/>
      <c r="G77" s="45">
        <f>G76*G53</f>
        <v>7.1392000000000027E-3</v>
      </c>
      <c r="H77" s="28">
        <f>SUM($H$37*G77)</f>
        <v>8.1685298560000028</v>
      </c>
    </row>
    <row r="78" spans="1:13" ht="15.75" x14ac:dyDescent="0.25">
      <c r="A78" s="1" t="s">
        <v>42</v>
      </c>
      <c r="B78" s="27" t="s">
        <v>255</v>
      </c>
      <c r="C78" s="27"/>
      <c r="D78" s="70"/>
      <c r="E78" s="70"/>
      <c r="F78" s="70"/>
      <c r="G78" s="162">
        <f>4%-G75</f>
        <v>5.3161600000000003E-3</v>
      </c>
      <c r="H78" s="28">
        <f>SUM($H$37*G78)</f>
        <v>6.0826439488000004</v>
      </c>
    </row>
    <row r="79" spans="1:13" ht="15.75" x14ac:dyDescent="0.25">
      <c r="A79" s="73"/>
      <c r="B79" s="55" t="s">
        <v>45</v>
      </c>
      <c r="C79" s="55"/>
      <c r="D79" s="41"/>
      <c r="E79" s="41"/>
      <c r="F79" s="74"/>
      <c r="G79" s="57">
        <f>SUM(G73:G78)</f>
        <v>7.1039199999999997E-2</v>
      </c>
      <c r="H79" s="58">
        <f>SUM(H73:H78)</f>
        <v>81.277075804800006</v>
      </c>
    </row>
    <row r="80" spans="1:13" ht="15.75" x14ac:dyDescent="0.25">
      <c r="A80" s="44">
        <v>4</v>
      </c>
      <c r="B80" s="277" t="s">
        <v>90</v>
      </c>
      <c r="C80" s="277"/>
      <c r="D80" s="277"/>
      <c r="E80" s="277"/>
      <c r="F80" s="277"/>
      <c r="G80" s="277"/>
      <c r="H80" s="277"/>
    </row>
    <row r="81" spans="1:10" ht="15.75" x14ac:dyDescent="0.25">
      <c r="A81" s="75" t="s">
        <v>91</v>
      </c>
      <c r="B81" s="269" t="s">
        <v>237</v>
      </c>
      <c r="C81" s="269"/>
      <c r="D81" s="269"/>
      <c r="E81" s="269"/>
      <c r="F81" s="269"/>
      <c r="G81" s="269"/>
      <c r="H81" s="269"/>
    </row>
    <row r="82" spans="1:10" ht="15.75" x14ac:dyDescent="0.25">
      <c r="A82" s="12" t="s">
        <v>4</v>
      </c>
      <c r="B82" s="51" t="s">
        <v>227</v>
      </c>
      <c r="C82" s="51"/>
      <c r="D82" s="53"/>
      <c r="E82" s="53"/>
      <c r="F82" s="53"/>
      <c r="G82" s="261">
        <v>0</v>
      </c>
      <c r="H82" s="28"/>
    </row>
    <row r="83" spans="1:10" ht="15.75" x14ac:dyDescent="0.25">
      <c r="A83" s="123" t="s">
        <v>7</v>
      </c>
      <c r="B83" s="51" t="s">
        <v>228</v>
      </c>
      <c r="C83" s="268" t="s">
        <v>95</v>
      </c>
      <c r="D83" s="167">
        <v>5.96</v>
      </c>
      <c r="E83" s="268" t="s">
        <v>96</v>
      </c>
      <c r="F83" s="169">
        <v>1</v>
      </c>
      <c r="G83" s="45">
        <f t="shared" ref="G83:G88" si="1">D83/360*F83</f>
        <v>1.6555555555555556E-2</v>
      </c>
      <c r="H83" s="28">
        <f>SUM(H$37*G83)</f>
        <v>18.942535555555558</v>
      </c>
    </row>
    <row r="84" spans="1:10" ht="15.75" x14ac:dyDescent="0.25">
      <c r="A84" s="12" t="s">
        <v>9</v>
      </c>
      <c r="B84" s="51" t="s">
        <v>229</v>
      </c>
      <c r="C84" s="268"/>
      <c r="D84" s="167">
        <v>5</v>
      </c>
      <c r="E84" s="268"/>
      <c r="F84" s="169">
        <v>1.4999999999999999E-2</v>
      </c>
      <c r="G84" s="45">
        <f t="shared" si="1"/>
        <v>2.0833333333333332E-4</v>
      </c>
      <c r="H84" s="28">
        <f>SUM(H$37*G84)</f>
        <v>0.23837083333333334</v>
      </c>
    </row>
    <row r="85" spans="1:10" ht="15.75" x14ac:dyDescent="0.25">
      <c r="A85" s="12" t="s">
        <v>17</v>
      </c>
      <c r="B85" s="51" t="s">
        <v>230</v>
      </c>
      <c r="C85" s="268"/>
      <c r="D85" s="167">
        <v>15</v>
      </c>
      <c r="E85" s="268"/>
      <c r="F85" s="170">
        <v>7.7999999999999996E-3</v>
      </c>
      <c r="G85" s="45">
        <f t="shared" si="1"/>
        <v>3.2499999999999999E-4</v>
      </c>
      <c r="H85" s="28">
        <f>SUM(H$37*G85)</f>
        <v>0.37185849999999998</v>
      </c>
    </row>
    <row r="86" spans="1:10" ht="15.75" x14ac:dyDescent="0.25">
      <c r="A86" s="12" t="s">
        <v>40</v>
      </c>
      <c r="B86" s="51" t="s">
        <v>231</v>
      </c>
      <c r="C86" s="268"/>
      <c r="D86" s="167">
        <v>120</v>
      </c>
      <c r="E86" s="268"/>
      <c r="F86" s="169"/>
      <c r="G86" s="45">
        <v>5.9999999999999995E-4</v>
      </c>
      <c r="H86" s="28">
        <f>SUM(H$37*G86)</f>
        <v>0.68650800000000001</v>
      </c>
    </row>
    <row r="87" spans="1:10" ht="15.75" x14ac:dyDescent="0.25">
      <c r="A87" s="12" t="s">
        <v>42</v>
      </c>
      <c r="B87" s="51" t="s">
        <v>101</v>
      </c>
      <c r="C87" s="268"/>
      <c r="D87" s="168"/>
      <c r="E87" s="268"/>
      <c r="F87" s="171"/>
      <c r="G87" s="45">
        <v>0</v>
      </c>
      <c r="H87" s="81">
        <f>SUM(H$37*G87)</f>
        <v>0</v>
      </c>
    </row>
    <row r="88" spans="1:10" ht="15.75" x14ac:dyDescent="0.25">
      <c r="A88" s="12" t="s">
        <v>61</v>
      </c>
      <c r="B88" s="51"/>
      <c r="C88" s="268"/>
      <c r="D88" s="79"/>
      <c r="E88" s="268"/>
      <c r="F88" s="82"/>
      <c r="G88" s="45">
        <f t="shared" si="1"/>
        <v>0</v>
      </c>
      <c r="H88" s="81"/>
    </row>
    <row r="89" spans="1:10" ht="15.75" x14ac:dyDescent="0.25">
      <c r="A89" s="19"/>
      <c r="B89" s="6" t="s">
        <v>102</v>
      </c>
      <c r="C89" s="6"/>
      <c r="D89" s="27"/>
      <c r="E89" s="27"/>
      <c r="F89" s="28"/>
      <c r="G89" s="45">
        <f>SUM(G82:G88)</f>
        <v>1.7688888888888889E-2</v>
      </c>
      <c r="H89" s="28">
        <f>SUM(H82:H88)</f>
        <v>20.239272888888891</v>
      </c>
      <c r="I89" s="121"/>
    </row>
    <row r="90" spans="1:10" ht="15.75" x14ac:dyDescent="0.25">
      <c r="A90" s="12" t="s">
        <v>42</v>
      </c>
      <c r="B90" s="51" t="s">
        <v>103</v>
      </c>
      <c r="C90" s="51"/>
      <c r="D90" s="27"/>
      <c r="E90" s="27"/>
      <c r="F90" s="28"/>
      <c r="G90" s="45">
        <v>0</v>
      </c>
      <c r="H90" s="28">
        <v>0</v>
      </c>
      <c r="I90" s="115"/>
      <c r="J90" s="122"/>
    </row>
    <row r="91" spans="1:10" ht="15.75" x14ac:dyDescent="0.25">
      <c r="A91" s="73"/>
      <c r="B91" s="55" t="s">
        <v>45</v>
      </c>
      <c r="C91" s="55"/>
      <c r="D91" s="41"/>
      <c r="E91" s="41"/>
      <c r="F91" s="74"/>
      <c r="G91" s="57">
        <f>G90+G89</f>
        <v>1.7688888888888889E-2</v>
      </c>
      <c r="H91" s="58">
        <f>SUM(H89:H90)</f>
        <v>20.239272888888891</v>
      </c>
    </row>
    <row r="92" spans="1:10" ht="15.75" x14ac:dyDescent="0.25">
      <c r="A92" s="75" t="s">
        <v>104</v>
      </c>
      <c r="B92" s="269" t="s">
        <v>233</v>
      </c>
      <c r="C92" s="269"/>
      <c r="D92" s="269"/>
      <c r="E92" s="269"/>
      <c r="F92" s="269"/>
      <c r="G92" s="269"/>
      <c r="H92" s="269"/>
    </row>
    <row r="93" spans="1:10" ht="15.75" x14ac:dyDescent="0.25">
      <c r="A93" s="12" t="s">
        <v>4</v>
      </c>
      <c r="B93" s="51" t="s">
        <v>235</v>
      </c>
      <c r="C93" s="51"/>
      <c r="D93" s="53"/>
      <c r="E93" s="53"/>
      <c r="F93" s="53"/>
      <c r="G93" s="162">
        <v>0</v>
      </c>
      <c r="H93" s="28">
        <f>SUM(H$37*G93)</f>
        <v>0</v>
      </c>
    </row>
    <row r="94" spans="1:10" ht="15.75" x14ac:dyDescent="0.25">
      <c r="A94" s="12" t="s">
        <v>7</v>
      </c>
      <c r="B94" s="51" t="s">
        <v>107</v>
      </c>
      <c r="C94" s="51"/>
      <c r="D94" s="53"/>
      <c r="E94" s="53"/>
      <c r="F94" s="53"/>
      <c r="G94" s="45">
        <f>G93*G53</f>
        <v>0</v>
      </c>
      <c r="H94" s="28">
        <f>SUM($H$37*G94)</f>
        <v>0</v>
      </c>
    </row>
    <row r="95" spans="1:10" ht="15.75" x14ac:dyDescent="0.25">
      <c r="A95" s="73"/>
      <c r="B95" s="55" t="s">
        <v>45</v>
      </c>
      <c r="C95" s="55"/>
      <c r="D95" s="41"/>
      <c r="E95" s="41"/>
      <c r="F95" s="74"/>
      <c r="G95" s="57">
        <f>G94+G93</f>
        <v>0</v>
      </c>
      <c r="H95" s="58">
        <f>SUM(H93:H94)</f>
        <v>0</v>
      </c>
    </row>
    <row r="96" spans="1:10" ht="15.75" x14ac:dyDescent="0.25">
      <c r="A96" s="269" t="s">
        <v>108</v>
      </c>
      <c r="B96" s="269"/>
      <c r="C96" s="269"/>
      <c r="D96" s="269"/>
      <c r="E96" s="269"/>
      <c r="F96" s="269"/>
      <c r="G96" s="269"/>
      <c r="H96" s="269"/>
    </row>
    <row r="97" spans="1:10" ht="15.75" x14ac:dyDescent="0.25">
      <c r="A97" s="12" t="s">
        <v>91</v>
      </c>
      <c r="B97" s="51" t="s">
        <v>236</v>
      </c>
      <c r="C97" s="51"/>
      <c r="D97" s="53"/>
      <c r="E97" s="53"/>
      <c r="F97" s="53"/>
      <c r="G97" s="45">
        <f>G91</f>
        <v>1.7688888888888889E-2</v>
      </c>
      <c r="H97" s="28">
        <f>H91</f>
        <v>20.239272888888891</v>
      </c>
    </row>
    <row r="98" spans="1:10" ht="15.75" x14ac:dyDescent="0.25">
      <c r="A98" s="12" t="s">
        <v>104</v>
      </c>
      <c r="B98" s="51" t="s">
        <v>234</v>
      </c>
      <c r="C98" s="51"/>
      <c r="D98" s="53"/>
      <c r="E98" s="53"/>
      <c r="F98" s="53"/>
      <c r="G98" s="45">
        <f>G95</f>
        <v>0</v>
      </c>
      <c r="H98" s="28">
        <f>H95</f>
        <v>0</v>
      </c>
    </row>
    <row r="99" spans="1:10" ht="15.75" x14ac:dyDescent="0.25">
      <c r="A99" s="73"/>
      <c r="B99" s="55" t="s">
        <v>45</v>
      </c>
      <c r="C99" s="55"/>
      <c r="D99" s="41"/>
      <c r="E99" s="41"/>
      <c r="F99" s="74"/>
      <c r="G99" s="57">
        <f>G95+G91</f>
        <v>1.7688888888888889E-2</v>
      </c>
      <c r="H99" s="58">
        <f>SUM(H97:H98)</f>
        <v>20.239272888888891</v>
      </c>
    </row>
    <row r="100" spans="1:10" ht="15.75" x14ac:dyDescent="0.25">
      <c r="A100" s="83">
        <v>5</v>
      </c>
      <c r="B100" s="269" t="s">
        <v>110</v>
      </c>
      <c r="C100" s="269"/>
      <c r="D100" s="269"/>
      <c r="E100" s="269"/>
      <c r="F100" s="269"/>
      <c r="G100" s="269"/>
      <c r="H100" s="269"/>
    </row>
    <row r="101" spans="1:10" ht="15.75" x14ac:dyDescent="0.25">
      <c r="A101" s="12" t="s">
        <v>4</v>
      </c>
      <c r="B101" s="13" t="s">
        <v>111</v>
      </c>
      <c r="C101" s="13"/>
      <c r="D101" s="84"/>
      <c r="E101" s="27"/>
      <c r="F101" s="85"/>
      <c r="G101" s="85"/>
      <c r="H101" s="85">
        <v>16.920000000000002</v>
      </c>
    </row>
    <row r="102" spans="1:10" ht="15.75" x14ac:dyDescent="0.25">
      <c r="A102" s="12" t="s">
        <v>7</v>
      </c>
      <c r="B102" s="13" t="s">
        <v>112</v>
      </c>
      <c r="C102" s="13"/>
      <c r="D102" s="84"/>
      <c r="E102" s="27"/>
      <c r="F102" s="85"/>
      <c r="G102" s="85"/>
      <c r="H102" s="85"/>
    </row>
    <row r="103" spans="1:10" ht="15.75" x14ac:dyDescent="0.25">
      <c r="A103" s="12" t="s">
        <v>9</v>
      </c>
      <c r="B103" s="13" t="s">
        <v>113</v>
      </c>
      <c r="C103" s="13"/>
      <c r="D103" s="84"/>
      <c r="E103" s="27"/>
      <c r="F103" s="85"/>
      <c r="G103" s="85"/>
      <c r="H103" s="85">
        <v>0</v>
      </c>
    </row>
    <row r="104" spans="1:10" ht="15.75" x14ac:dyDescent="0.25">
      <c r="A104" s="12" t="s">
        <v>17</v>
      </c>
      <c r="B104" s="13" t="s">
        <v>164</v>
      </c>
      <c r="C104" s="13"/>
      <c r="D104" s="84"/>
      <c r="E104" s="27"/>
      <c r="F104" s="85"/>
      <c r="G104" s="85"/>
      <c r="H104" s="85">
        <v>23.32</v>
      </c>
    </row>
    <row r="105" spans="1:10" ht="15.75" x14ac:dyDescent="0.25">
      <c r="A105" s="12" t="s">
        <v>40</v>
      </c>
      <c r="B105" s="13" t="s">
        <v>249</v>
      </c>
      <c r="C105" s="13"/>
      <c r="D105" s="84"/>
      <c r="E105" s="27"/>
      <c r="F105" s="85"/>
      <c r="G105" s="85"/>
      <c r="H105" s="85">
        <v>3.76</v>
      </c>
    </row>
    <row r="106" spans="1:10" ht="15.75" x14ac:dyDescent="0.25">
      <c r="A106" s="73"/>
      <c r="B106" s="55" t="s">
        <v>45</v>
      </c>
      <c r="C106" s="55"/>
      <c r="D106" s="41"/>
      <c r="E106" s="41"/>
      <c r="F106" s="74"/>
      <c r="G106" s="57"/>
      <c r="H106" s="58">
        <f>SUM(H101:H105)</f>
        <v>44</v>
      </c>
    </row>
    <row r="107" spans="1:10" ht="15.75" x14ac:dyDescent="0.25">
      <c r="A107" s="83">
        <v>6</v>
      </c>
      <c r="B107" s="269" t="s">
        <v>114</v>
      </c>
      <c r="C107" s="269"/>
      <c r="D107" s="269"/>
      <c r="E107" s="269"/>
      <c r="F107" s="269"/>
      <c r="G107" s="269"/>
      <c r="H107" s="269"/>
    </row>
    <row r="108" spans="1:10" ht="15.75" x14ac:dyDescent="0.25">
      <c r="A108" s="86" t="s">
        <v>4</v>
      </c>
      <c r="B108" s="27"/>
      <c r="C108" s="27"/>
      <c r="D108" s="27"/>
      <c r="E108" s="27"/>
      <c r="F108" s="27" t="s">
        <v>115</v>
      </c>
      <c r="G108" s="162">
        <v>0.03</v>
      </c>
      <c r="H108" s="28">
        <f>G108*H123</f>
        <v>68.575191548186666</v>
      </c>
    </row>
    <row r="109" spans="1:10" ht="15.75" x14ac:dyDescent="0.25">
      <c r="A109" s="86" t="s">
        <v>7</v>
      </c>
      <c r="B109" s="27"/>
      <c r="C109" s="27"/>
      <c r="D109" s="27"/>
      <c r="E109" s="27"/>
      <c r="F109" s="12" t="s">
        <v>116</v>
      </c>
      <c r="G109" s="162">
        <v>6.7900000000000002E-2</v>
      </c>
      <c r="H109" s="28">
        <f>(H108+H123)*$G$109</f>
        <v>159.86477237685102</v>
      </c>
    </row>
    <row r="110" spans="1:10" ht="15.75" x14ac:dyDescent="0.25">
      <c r="A110" s="86" t="s">
        <v>9</v>
      </c>
      <c r="B110" s="27"/>
      <c r="C110" s="27"/>
      <c r="D110" s="27"/>
      <c r="E110" s="27"/>
      <c r="F110" s="12" t="s">
        <v>117</v>
      </c>
      <c r="G110" s="87">
        <f>SUM(G111:G115)</f>
        <v>8.6499999999999994E-2</v>
      </c>
      <c r="H110" s="28">
        <f>H112+H113+H115</f>
        <v>238.07902847303853</v>
      </c>
    </row>
    <row r="111" spans="1:10" ht="15.75" x14ac:dyDescent="0.25">
      <c r="A111" s="86" t="s">
        <v>118</v>
      </c>
      <c r="B111" s="27"/>
      <c r="C111" s="27"/>
      <c r="D111" s="27"/>
      <c r="E111" s="27"/>
      <c r="F111" s="88" t="s">
        <v>119</v>
      </c>
      <c r="G111" s="45">
        <v>0</v>
      </c>
      <c r="H111" s="28"/>
    </row>
    <row r="112" spans="1:10" ht="15.75" x14ac:dyDescent="0.25">
      <c r="A112" s="86" t="s">
        <v>120</v>
      </c>
      <c r="B112" s="27"/>
      <c r="C112" s="27"/>
      <c r="D112" s="27"/>
      <c r="E112" s="27"/>
      <c r="F112" s="88" t="s">
        <v>121</v>
      </c>
      <c r="G112" s="162">
        <v>6.4999999999999997E-3</v>
      </c>
      <c r="H112" s="28">
        <f>((H108+H109+H123)/0.9135)*$G$112</f>
        <v>17.890331619361277</v>
      </c>
      <c r="J112" s="120"/>
    </row>
    <row r="113" spans="1:10" ht="15.75" x14ac:dyDescent="0.25">
      <c r="A113" s="86" t="s">
        <v>122</v>
      </c>
      <c r="B113" s="27"/>
      <c r="C113" s="27"/>
      <c r="D113" s="27"/>
      <c r="E113" s="27"/>
      <c r="F113" s="88" t="s">
        <v>123</v>
      </c>
      <c r="G113" s="162">
        <v>0.03</v>
      </c>
      <c r="H113" s="28">
        <f>((H108+H109+H123)/0.9135)*G113</f>
        <v>82.570761320128966</v>
      </c>
    </row>
    <row r="114" spans="1:10" ht="15.75" x14ac:dyDescent="0.25">
      <c r="A114" s="86" t="s">
        <v>124</v>
      </c>
      <c r="B114" s="27"/>
      <c r="C114" s="27"/>
      <c r="D114" s="27"/>
      <c r="E114" s="27"/>
      <c r="F114" s="88" t="s">
        <v>125</v>
      </c>
      <c r="G114" s="45">
        <v>0</v>
      </c>
      <c r="H114" s="28"/>
    </row>
    <row r="115" spans="1:10" ht="15.75" x14ac:dyDescent="0.25">
      <c r="A115" s="86" t="s">
        <v>126</v>
      </c>
      <c r="B115" s="27"/>
      <c r="C115" s="27"/>
      <c r="D115" s="27"/>
      <c r="E115" s="27"/>
      <c r="F115" s="88" t="s">
        <v>127</v>
      </c>
      <c r="G115" s="45">
        <v>0.05</v>
      </c>
      <c r="H115" s="28">
        <f>((H108+H109+H123)/0.9135)*G115</f>
        <v>137.61793553354829</v>
      </c>
    </row>
    <row r="116" spans="1:10" ht="15.75" x14ac:dyDescent="0.25">
      <c r="A116" s="73"/>
      <c r="B116" s="55" t="s">
        <v>45</v>
      </c>
      <c r="C116" s="55"/>
      <c r="D116" s="41"/>
      <c r="E116" s="41"/>
      <c r="F116" s="74"/>
      <c r="G116" s="57">
        <f>G110+G109+G108</f>
        <v>0.18439999999999998</v>
      </c>
      <c r="H116" s="58">
        <f>H108+H109+H110</f>
        <v>466.51899239807619</v>
      </c>
    </row>
    <row r="117" spans="1:10" ht="15.75" x14ac:dyDescent="0.25">
      <c r="A117" s="89"/>
      <c r="B117" s="267" t="s">
        <v>128</v>
      </c>
      <c r="C117" s="267"/>
      <c r="D117" s="267"/>
      <c r="E117" s="267"/>
      <c r="F117" s="267"/>
      <c r="G117" s="267"/>
      <c r="H117" s="267"/>
    </row>
    <row r="118" spans="1:10" ht="15.75" x14ac:dyDescent="0.25">
      <c r="A118" s="90" t="s">
        <v>4</v>
      </c>
      <c r="B118" s="27" t="s">
        <v>30</v>
      </c>
      <c r="C118" s="27"/>
      <c r="D118" s="27"/>
      <c r="E118" s="27"/>
      <c r="F118" s="28"/>
      <c r="G118" s="45">
        <f>SUM(H118/H$125)</f>
        <v>0.41570889563340163</v>
      </c>
      <c r="H118" s="28">
        <f>H37</f>
        <v>1144.18</v>
      </c>
    </row>
    <row r="119" spans="1:10" ht="15.75" x14ac:dyDescent="0.25">
      <c r="A119" s="90" t="s">
        <v>7</v>
      </c>
      <c r="B119" s="27" t="s">
        <v>129</v>
      </c>
      <c r="C119" s="27"/>
      <c r="D119" s="27"/>
      <c r="E119" s="27"/>
      <c r="F119" s="28"/>
      <c r="G119" s="45">
        <f>SUM(H119/H$125)</f>
        <v>0.36192352607133904</v>
      </c>
      <c r="H119" s="28">
        <f>H71</f>
        <v>996.14336957920011</v>
      </c>
    </row>
    <row r="120" spans="1:10" ht="15.75" x14ac:dyDescent="0.25">
      <c r="A120" s="90" t="s">
        <v>9</v>
      </c>
      <c r="B120" s="27" t="s">
        <v>130</v>
      </c>
      <c r="C120" s="27"/>
      <c r="D120" s="27"/>
      <c r="E120" s="27"/>
      <c r="F120" s="28"/>
      <c r="G120" s="45">
        <f>SUM(H120/H$125)</f>
        <v>2.9529972052584098E-2</v>
      </c>
      <c r="H120" s="28">
        <f>H79</f>
        <v>81.277075804800006</v>
      </c>
    </row>
    <row r="121" spans="1:10" ht="15.75" x14ac:dyDescent="0.25">
      <c r="A121" s="90" t="s">
        <v>17</v>
      </c>
      <c r="B121" s="27" t="s">
        <v>131</v>
      </c>
      <c r="C121" s="27"/>
      <c r="D121" s="27"/>
      <c r="E121" s="27"/>
      <c r="F121" s="28"/>
      <c r="G121" s="45">
        <f>SUM(H121/H$125)</f>
        <v>7.3534284649819492E-3</v>
      </c>
      <c r="H121" s="28">
        <f>H99</f>
        <v>20.239272888888891</v>
      </c>
      <c r="J121" s="115">
        <f>H108+H109+H123</f>
        <v>2514.2796821979268</v>
      </c>
    </row>
    <row r="122" spans="1:10" ht="15.75" x14ac:dyDescent="0.25">
      <c r="A122" s="90" t="s">
        <v>40</v>
      </c>
      <c r="B122" s="27" t="s">
        <v>110</v>
      </c>
      <c r="C122" s="27"/>
      <c r="D122" s="27"/>
      <c r="E122" s="27"/>
      <c r="F122" s="28"/>
      <c r="G122" s="45">
        <f>H122/H125</f>
        <v>1.5986288353117228E-2</v>
      </c>
      <c r="H122" s="28">
        <f>H106</f>
        <v>44</v>
      </c>
      <c r="J122" s="115">
        <f>J121/0.9135</f>
        <v>2752.3587106709656</v>
      </c>
    </row>
    <row r="123" spans="1:10" ht="15.75" x14ac:dyDescent="0.25">
      <c r="A123" s="90"/>
      <c r="B123" s="27" t="s">
        <v>132</v>
      </c>
      <c r="C123" s="27"/>
      <c r="D123" s="27"/>
      <c r="E123" s="27"/>
      <c r="F123" s="28"/>
      <c r="G123" s="45">
        <f>SUM(G118:G122)</f>
        <v>0.830502110575424</v>
      </c>
      <c r="H123" s="28">
        <f>SUM(H118:H122)</f>
        <v>2285.8397182728891</v>
      </c>
    </row>
    <row r="124" spans="1:10" ht="15.75" x14ac:dyDescent="0.25">
      <c r="A124" s="90" t="s">
        <v>40</v>
      </c>
      <c r="B124" s="27" t="s">
        <v>133</v>
      </c>
      <c r="C124" s="27"/>
      <c r="D124" s="27"/>
      <c r="E124" s="27"/>
      <c r="F124" s="28"/>
      <c r="G124" s="45">
        <f>SUM(H124/H$125)</f>
        <v>0.16949788942457614</v>
      </c>
      <c r="H124" s="28">
        <f>H108+H109+H110</f>
        <v>466.51899239807619</v>
      </c>
    </row>
    <row r="125" spans="1:10" ht="15.75" x14ac:dyDescent="0.25">
      <c r="A125" s="55"/>
      <c r="B125" s="55" t="s">
        <v>134</v>
      </c>
      <c r="C125" s="55"/>
      <c r="D125" s="55"/>
      <c r="E125" s="55"/>
      <c r="F125" s="55"/>
      <c r="G125" s="55">
        <f>SUM(G123+G124)</f>
        <v>1.0000000000000002</v>
      </c>
      <c r="H125" s="91">
        <f>H124+H123</f>
        <v>2752.3587106709651</v>
      </c>
    </row>
    <row r="126" spans="1:10" ht="15.75" x14ac:dyDescent="0.25">
      <c r="A126" s="92"/>
      <c r="B126" s="267" t="s">
        <v>135</v>
      </c>
      <c r="C126" s="267"/>
      <c r="D126" s="267"/>
      <c r="E126" s="267"/>
      <c r="F126" s="267"/>
      <c r="G126" s="267"/>
      <c r="H126" s="267"/>
    </row>
    <row r="127" spans="1:10" ht="47.25" x14ac:dyDescent="0.25">
      <c r="A127" s="27"/>
      <c r="B127" s="16" t="s">
        <v>20</v>
      </c>
      <c r="C127" s="16"/>
      <c r="D127" s="93" t="s">
        <v>136</v>
      </c>
      <c r="E127" s="93" t="s">
        <v>137</v>
      </c>
      <c r="F127" s="94" t="s">
        <v>138</v>
      </c>
      <c r="G127" s="93" t="s">
        <v>139</v>
      </c>
      <c r="H127" s="95" t="s">
        <v>140</v>
      </c>
    </row>
    <row r="128" spans="1:10" ht="15.75" x14ac:dyDescent="0.25">
      <c r="A128" s="27"/>
      <c r="B128" s="3" t="s">
        <v>141</v>
      </c>
      <c r="C128" s="3"/>
      <c r="D128" s="3" t="s">
        <v>142</v>
      </c>
      <c r="E128" s="96" t="s">
        <v>143</v>
      </c>
      <c r="F128" s="97" t="s">
        <v>144</v>
      </c>
      <c r="G128" s="3" t="s">
        <v>145</v>
      </c>
      <c r="H128" s="98" t="s">
        <v>146</v>
      </c>
    </row>
    <row r="129" spans="1:8" ht="15.75" x14ac:dyDescent="0.25">
      <c r="A129" s="1"/>
      <c r="B129" s="14"/>
      <c r="C129" s="14"/>
      <c r="D129" s="99">
        <f>SUM(H125)</f>
        <v>2752.3587106709651</v>
      </c>
      <c r="E129" s="165">
        <v>14</v>
      </c>
      <c r="F129" s="99">
        <f>D129*E129</f>
        <v>38533.021949393515</v>
      </c>
      <c r="G129" s="166">
        <v>1</v>
      </c>
      <c r="H129" s="28">
        <f>E129*D129</f>
        <v>38533.021949393515</v>
      </c>
    </row>
    <row r="130" spans="1:8" ht="15.75" x14ac:dyDescent="0.25">
      <c r="A130" s="27"/>
      <c r="B130" s="102" t="s">
        <v>147</v>
      </c>
      <c r="C130" s="102"/>
      <c r="D130" s="103"/>
      <c r="E130" s="103"/>
      <c r="F130" s="103"/>
      <c r="G130" s="103"/>
      <c r="H130" s="104">
        <f>SUM(H129)</f>
        <v>38533.021949393515</v>
      </c>
    </row>
    <row r="131" spans="1:8" ht="15.75" x14ac:dyDescent="0.25">
      <c r="A131" s="27"/>
      <c r="B131" s="16"/>
      <c r="C131" s="16"/>
      <c r="D131" s="105"/>
      <c r="E131" s="16"/>
      <c r="F131" s="16"/>
      <c r="G131" s="16"/>
      <c r="H131" s="16"/>
    </row>
    <row r="132" spans="1:8" ht="15.75" x14ac:dyDescent="0.25">
      <c r="A132" s="83"/>
      <c r="B132" s="267" t="s">
        <v>148</v>
      </c>
      <c r="C132" s="267"/>
      <c r="D132" s="267"/>
      <c r="E132" s="267"/>
      <c r="F132" s="267"/>
      <c r="G132" s="267"/>
      <c r="H132" s="267"/>
    </row>
    <row r="133" spans="1:8" ht="15.75" x14ac:dyDescent="0.25">
      <c r="A133" s="106"/>
      <c r="B133" s="106" t="s">
        <v>149</v>
      </c>
      <c r="C133" s="106"/>
      <c r="D133" s="106"/>
      <c r="E133" s="16"/>
      <c r="F133" s="16"/>
      <c r="G133" s="16"/>
      <c r="H133" s="107" t="s">
        <v>150</v>
      </c>
    </row>
    <row r="134" spans="1:8" ht="15.75" x14ac:dyDescent="0.25">
      <c r="A134" s="108" t="s">
        <v>4</v>
      </c>
      <c r="B134" s="109" t="s">
        <v>151</v>
      </c>
      <c r="C134" s="109"/>
      <c r="D134" s="109"/>
      <c r="E134" s="13"/>
      <c r="F134" s="13"/>
      <c r="G134" s="13"/>
      <c r="H134" s="107">
        <f>D129</f>
        <v>2752.3587106709651</v>
      </c>
    </row>
    <row r="135" spans="1:8" ht="15.75" x14ac:dyDescent="0.25">
      <c r="A135" s="108" t="s">
        <v>7</v>
      </c>
      <c r="B135" s="109" t="s">
        <v>152</v>
      </c>
      <c r="C135" s="109"/>
      <c r="D135" s="109"/>
      <c r="E135" s="13"/>
      <c r="F135" s="13"/>
      <c r="G135" s="13"/>
      <c r="H135" s="107">
        <f>H130</f>
        <v>38533.021949393515</v>
      </c>
    </row>
    <row r="136" spans="1:8" ht="15.75" x14ac:dyDescent="0.25">
      <c r="A136" s="108" t="s">
        <v>17</v>
      </c>
      <c r="B136" s="7" t="s">
        <v>153</v>
      </c>
      <c r="C136" s="7"/>
      <c r="D136" s="109"/>
      <c r="E136" s="13"/>
      <c r="F136" s="13"/>
      <c r="G136" s="165">
        <v>12</v>
      </c>
      <c r="H136" s="107">
        <f>SUM(H135*G136)</f>
        <v>462396.26339272218</v>
      </c>
    </row>
    <row r="137" spans="1:8" ht="15.75" x14ac:dyDescent="0.25">
      <c r="A137" s="6"/>
      <c r="B137" s="6"/>
      <c r="C137" s="6"/>
      <c r="D137" s="6"/>
      <c r="E137" s="6"/>
      <c r="F137" s="6"/>
      <c r="G137" s="6"/>
      <c r="H137" s="6"/>
    </row>
    <row r="139" spans="1:8" x14ac:dyDescent="0.25">
      <c r="A139" s="149" t="s">
        <v>204</v>
      </c>
      <c r="B139" s="149"/>
    </row>
    <row r="140" spans="1:8" x14ac:dyDescent="0.25">
      <c r="A140" s="149" t="s">
        <v>205</v>
      </c>
      <c r="B140" s="149"/>
    </row>
    <row r="141" spans="1:8" x14ac:dyDescent="0.25">
      <c r="A141" s="149" t="s">
        <v>253</v>
      </c>
      <c r="B141" s="149"/>
    </row>
    <row r="142" spans="1:8" x14ac:dyDescent="0.25">
      <c r="A142" s="149"/>
      <c r="B142" s="149"/>
    </row>
    <row r="143" spans="1:8" ht="32.25" customHeight="1" x14ac:dyDescent="0.25">
      <c r="A143" s="293" t="s">
        <v>207</v>
      </c>
      <c r="B143" s="293"/>
      <c r="C143" s="293"/>
      <c r="D143" s="293"/>
      <c r="E143" s="293"/>
      <c r="F143" s="293"/>
      <c r="G143" s="293"/>
      <c r="H143" s="293"/>
    </row>
    <row r="145" spans="1:8" x14ac:dyDescent="0.25">
      <c r="A145" t="s">
        <v>208</v>
      </c>
    </row>
    <row r="146" spans="1:8" x14ac:dyDescent="0.25">
      <c r="A146" s="149" t="s">
        <v>209</v>
      </c>
    </row>
    <row r="147" spans="1:8" x14ac:dyDescent="0.25">
      <c r="A147" s="149" t="s">
        <v>210</v>
      </c>
    </row>
    <row r="148" spans="1:8" x14ac:dyDescent="0.25">
      <c r="A148" s="149"/>
    </row>
    <row r="149" spans="1:8" ht="37.5" customHeight="1" x14ac:dyDescent="0.25">
      <c r="A149" s="293" t="s">
        <v>211</v>
      </c>
      <c r="B149" s="293"/>
      <c r="C149" s="293"/>
      <c r="D149" s="293"/>
      <c r="E149" s="293"/>
      <c r="F149" s="293"/>
      <c r="G149" s="293"/>
      <c r="H149" s="293"/>
    </row>
    <row r="150" spans="1:8" x14ac:dyDescent="0.25">
      <c r="A150" s="149"/>
    </row>
    <row r="151" spans="1:8" ht="62.25" customHeight="1" x14ac:dyDescent="0.25">
      <c r="A151" s="293" t="s">
        <v>212</v>
      </c>
      <c r="B151" s="293"/>
      <c r="C151" s="293"/>
      <c r="D151" s="293"/>
      <c r="E151" s="293"/>
      <c r="F151" s="293"/>
      <c r="G151" s="293"/>
      <c r="H151" s="293"/>
    </row>
    <row r="152" spans="1:8" x14ac:dyDescent="0.25">
      <c r="A152" s="149"/>
    </row>
    <row r="153" spans="1:8" x14ac:dyDescent="0.25">
      <c r="A153" s="149"/>
    </row>
    <row r="154" spans="1:8" ht="43.5" customHeight="1" x14ac:dyDescent="0.25">
      <c r="A154" s="293" t="s">
        <v>207</v>
      </c>
      <c r="B154" s="293"/>
      <c r="C154" s="293"/>
      <c r="D154" s="293"/>
      <c r="E154" s="293"/>
      <c r="F154" s="293"/>
      <c r="G154" s="293"/>
      <c r="H154" s="293"/>
    </row>
    <row r="155" spans="1:8" ht="30.75" customHeight="1" x14ac:dyDescent="0.25">
      <c r="A155" s="293" t="s">
        <v>223</v>
      </c>
      <c r="B155" s="293"/>
      <c r="C155" s="293"/>
      <c r="D155" s="293"/>
      <c r="E155" s="293"/>
      <c r="F155" s="293"/>
      <c r="G155" s="293"/>
      <c r="H155" s="293"/>
    </row>
    <row r="156" spans="1:8" x14ac:dyDescent="0.25">
      <c r="B156" s="150" t="s">
        <v>214</v>
      </c>
      <c r="C156" s="151"/>
      <c r="D156" s="151"/>
      <c r="E156" s="151"/>
      <c r="F156" s="151"/>
    </row>
    <row r="157" spans="1:8" x14ac:dyDescent="0.25">
      <c r="B157" s="150"/>
      <c r="C157" s="151"/>
      <c r="D157" s="151"/>
      <c r="E157" s="151"/>
      <c r="F157" s="151"/>
    </row>
    <row r="158" spans="1:8" x14ac:dyDescent="0.25">
      <c r="B158" s="150" t="s">
        <v>215</v>
      </c>
      <c r="C158" s="151" t="s">
        <v>216</v>
      </c>
      <c r="D158" s="151" t="s">
        <v>217</v>
      </c>
      <c r="E158" s="151" t="s">
        <v>218</v>
      </c>
      <c r="F158" s="151" t="s">
        <v>219</v>
      </c>
    </row>
    <row r="159" spans="1:8" x14ac:dyDescent="0.25">
      <c r="B159" s="150" t="s">
        <v>220</v>
      </c>
      <c r="C159" s="152">
        <v>1.6500000000000001E-2</v>
      </c>
      <c r="D159" s="152">
        <v>7.5999999999999998E-2</v>
      </c>
      <c r="E159" s="153">
        <v>0.05</v>
      </c>
      <c r="F159" s="151">
        <v>0.85750000000000004</v>
      </c>
    </row>
    <row r="160" spans="1:8" x14ac:dyDescent="0.25">
      <c r="B160" s="150" t="s">
        <v>221</v>
      </c>
      <c r="C160" s="152">
        <v>6.4999999999999997E-3</v>
      </c>
      <c r="D160" s="153">
        <v>0.03</v>
      </c>
      <c r="E160" s="153">
        <v>0.05</v>
      </c>
      <c r="F160" s="151">
        <v>0.91349999999999998</v>
      </c>
    </row>
    <row r="161" spans="1:8" x14ac:dyDescent="0.25">
      <c r="B161" s="150" t="s">
        <v>222</v>
      </c>
      <c r="C161" s="152">
        <v>4.4000000000000003E-3</v>
      </c>
      <c r="D161" s="152">
        <v>2.35E-2</v>
      </c>
      <c r="E161" s="153">
        <v>0.05</v>
      </c>
      <c r="F161" s="151">
        <v>0.92210000000000003</v>
      </c>
    </row>
    <row r="163" spans="1:8" ht="46.5" customHeight="1" x14ac:dyDescent="0.25">
      <c r="A163" s="292" t="s">
        <v>225</v>
      </c>
      <c r="B163" s="292"/>
      <c r="C163" s="292"/>
      <c r="D163" s="292"/>
      <c r="E163" s="292"/>
      <c r="F163" s="292"/>
      <c r="G163" s="292"/>
      <c r="H163" s="292"/>
    </row>
  </sheetData>
  <mergeCells count="57">
    <mergeCell ref="B117:H117"/>
    <mergeCell ref="B126:H126"/>
    <mergeCell ref="B132:H132"/>
    <mergeCell ref="C83:C88"/>
    <mergeCell ref="E83:E88"/>
    <mergeCell ref="B92:H92"/>
    <mergeCell ref="A96:H96"/>
    <mergeCell ref="B100:H100"/>
    <mergeCell ref="B107:H107"/>
    <mergeCell ref="B81:H81"/>
    <mergeCell ref="A59:A61"/>
    <mergeCell ref="D59:D60"/>
    <mergeCell ref="E59:E60"/>
    <mergeCell ref="F59:F60"/>
    <mergeCell ref="G59:G60"/>
    <mergeCell ref="B61:E61"/>
    <mergeCell ref="B62:E62"/>
    <mergeCell ref="B66:E66"/>
    <mergeCell ref="A67:H67"/>
    <mergeCell ref="B72:H72"/>
    <mergeCell ref="B80:H80"/>
    <mergeCell ref="B54:H54"/>
    <mergeCell ref="A56:A58"/>
    <mergeCell ref="D56:D57"/>
    <mergeCell ref="E56:E57"/>
    <mergeCell ref="F56:F57"/>
    <mergeCell ref="G56:G57"/>
    <mergeCell ref="D46:E47"/>
    <mergeCell ref="E18:H18"/>
    <mergeCell ref="B19:H19"/>
    <mergeCell ref="A20:H20"/>
    <mergeCell ref="D21:H21"/>
    <mergeCell ref="D22:H22"/>
    <mergeCell ref="D24:H24"/>
    <mergeCell ref="D25:H25"/>
    <mergeCell ref="B26:H26"/>
    <mergeCell ref="B38:H38"/>
    <mergeCell ref="B39:H39"/>
    <mergeCell ref="B44:H44"/>
    <mergeCell ref="E17:H17"/>
    <mergeCell ref="A3:H3"/>
    <mergeCell ref="E4:H6"/>
    <mergeCell ref="A7:D7"/>
    <mergeCell ref="A8:H8"/>
    <mergeCell ref="D9:H9"/>
    <mergeCell ref="D10:H10"/>
    <mergeCell ref="D11:H11"/>
    <mergeCell ref="D12:H12"/>
    <mergeCell ref="A14:H14"/>
    <mergeCell ref="E15:H15"/>
    <mergeCell ref="E16:H16"/>
    <mergeCell ref="A163:H163"/>
    <mergeCell ref="A143:H143"/>
    <mergeCell ref="A149:H149"/>
    <mergeCell ref="A151:H151"/>
    <mergeCell ref="A154:H154"/>
    <mergeCell ref="A155:H155"/>
  </mergeCells>
  <dataValidations count="4">
    <dataValidation type="list" operator="equal" allowBlank="1" showErrorMessage="1" promptTitle="Percentual" sqref="E30">
      <formula1>$K$28:$K$31</formula1>
      <formula2>0</formula2>
    </dataValidation>
    <dataValidation type="list" operator="equal" allowBlank="1" showErrorMessage="1" sqref="D30">
      <formula1>$J$28:$J$31</formula1>
      <formula2>0</formula2>
    </dataValidation>
    <dataValidation type="list" operator="equal" allowBlank="1" showErrorMessage="1" sqref="E28">
      <formula1>$K$33:$K$34</formula1>
      <formula2>0</formula2>
    </dataValidation>
    <dataValidation type="list" operator="equal" allowBlank="1" showErrorMessage="1" sqref="D28">
      <formula1>$J$33:$J$34</formula1>
      <formula2>0</formula2>
    </dataValidation>
  </dataValidations>
  <pageMargins left="0.7" right="0.7" top="0.75" bottom="0.75" header="0.3" footer="0.3"/>
  <pageSetup paperSize="9" scale="45" orientation="portrait" r:id="rId1"/>
  <drawing r:id="rId2"/>
  <legacy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4"/>
  <sheetViews>
    <sheetView zoomScale="90" zoomScaleNormal="90" workbookViewId="0">
      <selection activeCell="H65" sqref="H65"/>
    </sheetView>
  </sheetViews>
  <sheetFormatPr defaultRowHeight="15" x14ac:dyDescent="0.25"/>
  <cols>
    <col min="1" max="1" width="4.85546875" bestFit="1" customWidth="1"/>
    <col min="2" max="2" width="54.85546875" customWidth="1"/>
    <col min="3" max="3" width="11.5703125" customWidth="1"/>
    <col min="4" max="4" width="34" customWidth="1"/>
    <col min="5" max="5" width="18" customWidth="1"/>
    <col min="6" max="6" width="25.28515625" bestFit="1" customWidth="1"/>
    <col min="7" max="7" width="11.5703125" bestFit="1" customWidth="1"/>
    <col min="8" max="8" width="17.140625" bestFit="1" customWidth="1"/>
    <col min="9" max="9" width="20.7109375" customWidth="1"/>
    <col min="10" max="10" width="11" bestFit="1" customWidth="1"/>
  </cols>
  <sheetData>
    <row r="1" spans="1:8" x14ac:dyDescent="0.25">
      <c r="A1" s="1"/>
      <c r="B1" s="1"/>
      <c r="C1" s="1"/>
      <c r="D1" s="1"/>
      <c r="E1" s="1"/>
      <c r="F1" s="1"/>
      <c r="G1" s="1"/>
      <c r="H1" s="2"/>
    </row>
    <row r="2" spans="1:8" ht="15.75" x14ac:dyDescent="0.25">
      <c r="A2" s="3"/>
      <c r="B2" s="3" t="s">
        <v>0</v>
      </c>
      <c r="C2" s="3"/>
      <c r="D2" s="4"/>
      <c r="E2" s="3"/>
      <c r="F2" s="3" t="s">
        <v>2</v>
      </c>
      <c r="G2" s="3"/>
      <c r="H2" s="5"/>
    </row>
    <row r="3" spans="1:8" ht="15.75" x14ac:dyDescent="0.25">
      <c r="A3" s="269" t="s">
        <v>3</v>
      </c>
      <c r="B3" s="269"/>
      <c r="C3" s="269"/>
      <c r="D3" s="269"/>
      <c r="E3" s="269"/>
      <c r="F3" s="269"/>
      <c r="G3" s="269"/>
      <c r="H3" s="269"/>
    </row>
    <row r="4" spans="1:8" ht="15.75" x14ac:dyDescent="0.25">
      <c r="A4" s="6" t="s">
        <v>4</v>
      </c>
      <c r="B4" s="7" t="s">
        <v>5</v>
      </c>
      <c r="C4" s="7"/>
      <c r="D4" s="8"/>
      <c r="E4" s="287" t="s">
        <v>6</v>
      </c>
      <c r="F4" s="287"/>
      <c r="G4" s="287"/>
      <c r="H4" s="287"/>
    </row>
    <row r="5" spans="1:8" ht="15.75" x14ac:dyDescent="0.25">
      <c r="A5" s="6" t="s">
        <v>7</v>
      </c>
      <c r="B5" s="7" t="s">
        <v>8</v>
      </c>
      <c r="C5" s="7"/>
      <c r="D5" s="9"/>
      <c r="E5" s="287"/>
      <c r="F5" s="287"/>
      <c r="G5" s="287"/>
      <c r="H5" s="287"/>
    </row>
    <row r="6" spans="1:8" ht="15.75" x14ac:dyDescent="0.25">
      <c r="A6" s="6" t="s">
        <v>9</v>
      </c>
      <c r="B6" s="7" t="s">
        <v>10</v>
      </c>
      <c r="C6" s="7"/>
      <c r="D6" s="10"/>
      <c r="E6" s="287"/>
      <c r="F6" s="287"/>
      <c r="G6" s="287"/>
      <c r="H6" s="287"/>
    </row>
    <row r="7" spans="1:8" ht="15.75" x14ac:dyDescent="0.25">
      <c r="A7" s="288"/>
      <c r="B7" s="288"/>
      <c r="C7" s="288"/>
      <c r="D7" s="288"/>
      <c r="E7" s="11"/>
      <c r="F7" s="11"/>
      <c r="G7" s="11"/>
      <c r="H7" s="11"/>
    </row>
    <row r="8" spans="1:8" ht="15.75" x14ac:dyDescent="0.25">
      <c r="A8" s="269" t="s">
        <v>12</v>
      </c>
      <c r="B8" s="269"/>
      <c r="C8" s="269"/>
      <c r="D8" s="269"/>
      <c r="E8" s="269"/>
      <c r="F8" s="269"/>
      <c r="G8" s="269"/>
      <c r="H8" s="269"/>
    </row>
    <row r="9" spans="1:8" x14ac:dyDescent="0.25">
      <c r="A9" s="12" t="s">
        <v>4</v>
      </c>
      <c r="B9" s="13" t="s">
        <v>13</v>
      </c>
      <c r="C9" s="13"/>
      <c r="D9" s="294">
        <v>44301</v>
      </c>
      <c r="E9" s="281"/>
      <c r="F9" s="281"/>
      <c r="G9" s="281"/>
      <c r="H9" s="281"/>
    </row>
    <row r="10" spans="1:8" x14ac:dyDescent="0.25">
      <c r="A10" s="12" t="s">
        <v>7</v>
      </c>
      <c r="B10" s="13" t="s">
        <v>15</v>
      </c>
      <c r="C10" s="13"/>
      <c r="D10" s="289" t="s">
        <v>185</v>
      </c>
      <c r="E10" s="289"/>
      <c r="F10" s="289"/>
      <c r="G10" s="289"/>
      <c r="H10" s="289"/>
    </row>
    <row r="11" spans="1:8" x14ac:dyDescent="0.25">
      <c r="A11" s="12" t="s">
        <v>9</v>
      </c>
      <c r="B11" s="13" t="s">
        <v>16</v>
      </c>
      <c r="C11" s="13"/>
      <c r="D11" s="289" t="s">
        <v>263</v>
      </c>
      <c r="E11" s="289"/>
      <c r="F11" s="289"/>
      <c r="G11" s="289"/>
      <c r="H11" s="289"/>
    </row>
    <row r="12" spans="1:8" x14ac:dyDescent="0.25">
      <c r="A12" s="12" t="s">
        <v>17</v>
      </c>
      <c r="B12" s="13" t="s">
        <v>18</v>
      </c>
      <c r="C12" s="13"/>
      <c r="D12" s="289">
        <v>12</v>
      </c>
      <c r="E12" s="289"/>
      <c r="F12" s="289"/>
      <c r="G12" s="289"/>
      <c r="H12" s="289"/>
    </row>
    <row r="13" spans="1:8" x14ac:dyDescent="0.25">
      <c r="A13" s="12"/>
      <c r="B13" s="13"/>
      <c r="C13" s="13"/>
      <c r="D13" s="14"/>
      <c r="E13" s="14"/>
      <c r="F13" s="14"/>
      <c r="G13" s="14"/>
      <c r="H13" s="15"/>
    </row>
    <row r="14" spans="1:8" ht="15.75" x14ac:dyDescent="0.25">
      <c r="A14" s="269" t="s">
        <v>19</v>
      </c>
      <c r="B14" s="269"/>
      <c r="C14" s="269"/>
      <c r="D14" s="269"/>
      <c r="E14" s="269"/>
      <c r="F14" s="269"/>
      <c r="G14" s="269"/>
      <c r="H14" s="269"/>
    </row>
    <row r="15" spans="1:8" ht="15.75" x14ac:dyDescent="0.25">
      <c r="A15" s="12"/>
      <c r="B15" s="16" t="s">
        <v>20</v>
      </c>
      <c r="C15" s="16"/>
      <c r="D15" s="17" t="s">
        <v>21</v>
      </c>
      <c r="E15" s="290" t="s">
        <v>22</v>
      </c>
      <c r="F15" s="290"/>
      <c r="G15" s="290"/>
      <c r="H15" s="290"/>
    </row>
    <row r="16" spans="1:8" x14ac:dyDescent="0.25">
      <c r="A16" s="12" t="s">
        <v>4</v>
      </c>
      <c r="B16" s="18" t="s">
        <v>180</v>
      </c>
      <c r="C16" s="19"/>
      <c r="D16" s="20" t="s">
        <v>23</v>
      </c>
      <c r="E16" s="291">
        <v>1</v>
      </c>
      <c r="F16" s="291"/>
      <c r="G16" s="291"/>
      <c r="H16" s="291"/>
    </row>
    <row r="17" spans="1:8" x14ac:dyDescent="0.25">
      <c r="A17" s="12" t="s">
        <v>7</v>
      </c>
      <c r="B17" s="13"/>
      <c r="C17" s="13"/>
      <c r="D17" s="21"/>
      <c r="E17" s="279"/>
      <c r="F17" s="279"/>
      <c r="G17" s="279"/>
      <c r="H17" s="279"/>
    </row>
    <row r="18" spans="1:8" x14ac:dyDescent="0.25">
      <c r="A18" s="12" t="s">
        <v>9</v>
      </c>
      <c r="B18" s="13"/>
      <c r="C18" s="13"/>
      <c r="D18" s="21"/>
      <c r="E18" s="279"/>
      <c r="F18" s="279"/>
      <c r="G18" s="279"/>
      <c r="H18" s="279"/>
    </row>
    <row r="19" spans="1:8" ht="15.75" x14ac:dyDescent="0.25">
      <c r="A19" s="110"/>
      <c r="B19" s="269" t="s">
        <v>24</v>
      </c>
      <c r="C19" s="269"/>
      <c r="D19" s="269"/>
      <c r="E19" s="269"/>
      <c r="F19" s="269"/>
      <c r="G19" s="269"/>
      <c r="H19" s="269"/>
    </row>
    <row r="20" spans="1:8" ht="15.75" x14ac:dyDescent="0.25">
      <c r="A20" s="280" t="s">
        <v>25</v>
      </c>
      <c r="B20" s="280"/>
      <c r="C20" s="280"/>
      <c r="D20" s="280"/>
      <c r="E20" s="280"/>
      <c r="F20" s="280"/>
      <c r="G20" s="280"/>
      <c r="H20" s="280"/>
    </row>
    <row r="21" spans="1:8" x14ac:dyDescent="0.25">
      <c r="A21" s="12">
        <v>1</v>
      </c>
      <c r="B21" s="13" t="s">
        <v>20</v>
      </c>
      <c r="C21" s="13"/>
      <c r="D21" s="281" t="s">
        <v>179</v>
      </c>
      <c r="E21" s="281"/>
      <c r="F21" s="281"/>
      <c r="G21" s="281"/>
      <c r="H21" s="281"/>
    </row>
    <row r="22" spans="1:8" x14ac:dyDescent="0.25">
      <c r="A22" s="12">
        <v>2</v>
      </c>
      <c r="B22" s="13" t="s">
        <v>26</v>
      </c>
      <c r="C22" s="13"/>
      <c r="D22" s="282" t="s">
        <v>242</v>
      </c>
      <c r="E22" s="282"/>
      <c r="F22" s="282"/>
      <c r="G22" s="282"/>
      <c r="H22" s="282"/>
    </row>
    <row r="23" spans="1:8" x14ac:dyDescent="0.25">
      <c r="A23" s="12">
        <v>3</v>
      </c>
      <c r="B23" s="13" t="s">
        <v>27</v>
      </c>
      <c r="C23" s="13"/>
      <c r="D23" s="22">
        <v>1164.01</v>
      </c>
      <c r="E23" s="23"/>
      <c r="F23" s="23"/>
      <c r="G23" s="23"/>
      <c r="H23" s="23"/>
    </row>
    <row r="24" spans="1:8" ht="30" x14ac:dyDescent="0.25">
      <c r="A24" s="1">
        <v>4</v>
      </c>
      <c r="B24" s="24" t="s">
        <v>28</v>
      </c>
      <c r="C24" s="24"/>
      <c r="D24" s="283" t="s">
        <v>264</v>
      </c>
      <c r="E24" s="283"/>
      <c r="F24" s="283"/>
      <c r="G24" s="283"/>
      <c r="H24" s="283"/>
    </row>
    <row r="25" spans="1:8" x14ac:dyDescent="0.25">
      <c r="A25" s="1">
        <v>5</v>
      </c>
      <c r="B25" s="25" t="s">
        <v>29</v>
      </c>
      <c r="C25" s="25"/>
      <c r="D25" s="284" t="s">
        <v>265</v>
      </c>
      <c r="E25" s="284"/>
      <c r="F25" s="284"/>
      <c r="G25" s="284"/>
      <c r="H25" s="284"/>
    </row>
    <row r="26" spans="1:8" ht="15.75" x14ac:dyDescent="0.25">
      <c r="A26" s="188">
        <v>1</v>
      </c>
      <c r="B26" s="295" t="s">
        <v>30</v>
      </c>
      <c r="C26" s="295"/>
      <c r="D26" s="295"/>
      <c r="E26" s="295"/>
      <c r="F26" s="295"/>
      <c r="G26" s="295"/>
      <c r="H26" s="295"/>
    </row>
    <row r="27" spans="1:8" ht="15.75" x14ac:dyDescent="0.25">
      <c r="A27" s="174" t="s">
        <v>4</v>
      </c>
      <c r="B27" s="176" t="s">
        <v>31</v>
      </c>
      <c r="C27" s="176"/>
      <c r="D27" s="176"/>
      <c r="E27" s="205"/>
      <c r="F27" s="205"/>
      <c r="G27" s="177"/>
      <c r="H27" s="243">
        <f>D23</f>
        <v>1164.01</v>
      </c>
    </row>
    <row r="28" spans="1:8" ht="15.75" x14ac:dyDescent="0.25">
      <c r="A28" s="174" t="s">
        <v>7</v>
      </c>
      <c r="B28" s="176" t="s">
        <v>32</v>
      </c>
      <c r="C28" s="176"/>
      <c r="D28" s="244" t="s">
        <v>33</v>
      </c>
      <c r="E28" s="245">
        <v>0</v>
      </c>
      <c r="F28" s="205"/>
      <c r="G28" s="205"/>
      <c r="H28" s="246">
        <f>H27*E28</f>
        <v>0</v>
      </c>
    </row>
    <row r="29" spans="1:8" ht="30.75" x14ac:dyDescent="0.25">
      <c r="A29" s="189" t="s">
        <v>9</v>
      </c>
      <c r="B29" s="253" t="s">
        <v>241</v>
      </c>
      <c r="C29" s="254"/>
      <c r="D29" s="255" t="s">
        <v>35</v>
      </c>
      <c r="E29" s="256" t="s">
        <v>36</v>
      </c>
      <c r="F29" s="255" t="s">
        <v>268</v>
      </c>
      <c r="G29" s="257"/>
      <c r="H29" s="258">
        <f>40%*F30</f>
        <v>457.67200000000003</v>
      </c>
    </row>
    <row r="30" spans="1:8" ht="15.75" x14ac:dyDescent="0.25">
      <c r="A30" s="174" t="s">
        <v>17</v>
      </c>
      <c r="B30" s="176" t="s">
        <v>38</v>
      </c>
      <c r="C30" s="176"/>
      <c r="D30" s="244" t="s">
        <v>39</v>
      </c>
      <c r="E30" s="249">
        <v>0</v>
      </c>
      <c r="F30" s="250">
        <v>1144.18</v>
      </c>
      <c r="G30" s="176"/>
      <c r="H30" s="251"/>
    </row>
    <row r="31" spans="1:8" ht="15.75" x14ac:dyDescent="0.25">
      <c r="A31" s="174" t="s">
        <v>40</v>
      </c>
      <c r="B31" s="176" t="s">
        <v>41</v>
      </c>
      <c r="C31" s="176"/>
      <c r="D31" s="205"/>
      <c r="E31" s="205"/>
      <c r="F31" s="205"/>
      <c r="G31" s="198"/>
      <c r="H31" s="251"/>
    </row>
    <row r="32" spans="1:8" ht="15.75" x14ac:dyDescent="0.25">
      <c r="A32" s="174" t="s">
        <v>42</v>
      </c>
      <c r="B32" s="176" t="s">
        <v>159</v>
      </c>
      <c r="C32" s="176"/>
      <c r="D32" s="205"/>
      <c r="E32" s="205"/>
      <c r="F32" s="205"/>
      <c r="G32" s="198"/>
      <c r="H32" s="251"/>
    </row>
    <row r="33" spans="1:9" ht="15.75" x14ac:dyDescent="0.25">
      <c r="A33" s="174" t="s">
        <v>61</v>
      </c>
      <c r="B33" s="176" t="s">
        <v>155</v>
      </c>
      <c r="C33" s="176"/>
      <c r="D33" s="205"/>
      <c r="E33" s="205"/>
      <c r="F33" s="205"/>
      <c r="G33" s="198"/>
      <c r="H33" s="251"/>
    </row>
    <row r="34" spans="1:9" ht="15.75" x14ac:dyDescent="0.25">
      <c r="A34" s="174" t="s">
        <v>43</v>
      </c>
      <c r="B34" s="175" t="s">
        <v>160</v>
      </c>
      <c r="C34" s="175"/>
      <c r="D34" s="205"/>
      <c r="E34" s="205"/>
      <c r="F34" s="205"/>
      <c r="G34" s="198"/>
      <c r="H34" s="251"/>
    </row>
    <row r="35" spans="1:9" ht="15.75" x14ac:dyDescent="0.25">
      <c r="A35" s="174" t="s">
        <v>161</v>
      </c>
      <c r="B35" s="175" t="s">
        <v>162</v>
      </c>
      <c r="C35" s="175"/>
      <c r="D35" s="205"/>
      <c r="E35" s="205"/>
      <c r="F35" s="205"/>
      <c r="G35" s="198"/>
      <c r="H35" s="251"/>
    </row>
    <row r="36" spans="1:9" ht="15.75" x14ac:dyDescent="0.25">
      <c r="A36" s="174" t="s">
        <v>19</v>
      </c>
      <c r="B36" s="176" t="s">
        <v>44</v>
      </c>
      <c r="C36" s="176"/>
      <c r="D36" s="176"/>
      <c r="E36" s="176"/>
      <c r="F36" s="198"/>
      <c r="G36" s="198"/>
      <c r="H36" s="198">
        <v>0</v>
      </c>
    </row>
    <row r="37" spans="1:9" ht="15.75" x14ac:dyDescent="0.25">
      <c r="A37" s="39"/>
      <c r="B37" s="40" t="s">
        <v>45</v>
      </c>
      <c r="C37" s="40"/>
      <c r="D37" s="41"/>
      <c r="E37" s="41"/>
      <c r="F37" s="42"/>
      <c r="G37" s="42"/>
      <c r="H37" s="43">
        <f>SUM(H27:H36)</f>
        <v>1621.682</v>
      </c>
    </row>
    <row r="38" spans="1:9" ht="15.75" x14ac:dyDescent="0.25">
      <c r="A38" s="172">
        <v>2</v>
      </c>
      <c r="B38" s="300" t="s">
        <v>46</v>
      </c>
      <c r="C38" s="300"/>
      <c r="D38" s="300"/>
      <c r="E38" s="300"/>
      <c r="F38" s="300"/>
      <c r="G38" s="300"/>
      <c r="H38" s="300"/>
    </row>
    <row r="39" spans="1:9" ht="15.75" x14ac:dyDescent="0.25">
      <c r="A39" s="173" t="s">
        <v>47</v>
      </c>
      <c r="B39" s="301" t="s">
        <v>48</v>
      </c>
      <c r="C39" s="301"/>
      <c r="D39" s="301"/>
      <c r="E39" s="301"/>
      <c r="F39" s="301"/>
      <c r="G39" s="301"/>
      <c r="H39" s="301"/>
    </row>
    <row r="40" spans="1:9" ht="15.75" x14ac:dyDescent="0.25">
      <c r="A40" s="174" t="s">
        <v>4</v>
      </c>
      <c r="B40" s="175" t="s">
        <v>49</v>
      </c>
      <c r="C40" s="175"/>
      <c r="D40" s="175"/>
      <c r="E40" s="176"/>
      <c r="F40" s="177"/>
      <c r="G40" s="178">
        <v>8.3299999999999999E-2</v>
      </c>
      <c r="H40" s="177">
        <f>SUM($H$37*G40)</f>
        <v>135.08611060000001</v>
      </c>
    </row>
    <row r="41" spans="1:9" ht="15.75" x14ac:dyDescent="0.25">
      <c r="A41" s="174" t="s">
        <v>7</v>
      </c>
      <c r="B41" s="176" t="s">
        <v>50</v>
      </c>
      <c r="C41" s="176"/>
      <c r="D41" s="176"/>
      <c r="E41" s="176"/>
      <c r="F41" s="179"/>
      <c r="G41" s="180">
        <v>0.121</v>
      </c>
      <c r="H41" s="177">
        <f>SUM($H$37*G41)</f>
        <v>196.223522</v>
      </c>
    </row>
    <row r="42" spans="1:9" ht="15.75" x14ac:dyDescent="0.25">
      <c r="A42" s="1" t="s">
        <v>9</v>
      </c>
      <c r="B42" s="48" t="s">
        <v>51</v>
      </c>
      <c r="C42" s="181"/>
      <c r="D42" s="176"/>
      <c r="E42" s="176"/>
      <c r="F42" s="179"/>
      <c r="G42" s="180">
        <f>SUM(G40:G41)*G53</f>
        <v>7.518240000000001E-2</v>
      </c>
      <c r="H42" s="177">
        <f>SUM($H$37*G42)</f>
        <v>121.92194479680002</v>
      </c>
    </row>
    <row r="43" spans="1:9" ht="15.75" x14ac:dyDescent="0.25">
      <c r="A43" s="182"/>
      <c r="B43" s="183" t="s">
        <v>45</v>
      </c>
      <c r="C43" s="184"/>
      <c r="D43" s="185"/>
      <c r="E43" s="185"/>
      <c r="F43" s="186"/>
      <c r="G43" s="186"/>
      <c r="H43" s="187">
        <f>SUM(H40:H42)</f>
        <v>453.23157739679999</v>
      </c>
    </row>
    <row r="44" spans="1:9" ht="15.75" x14ac:dyDescent="0.25">
      <c r="A44" s="188" t="s">
        <v>52</v>
      </c>
      <c r="B44" s="295" t="s">
        <v>53</v>
      </c>
      <c r="C44" s="295"/>
      <c r="D44" s="295"/>
      <c r="E44" s="295"/>
      <c r="F44" s="295"/>
      <c r="G44" s="295"/>
      <c r="H44" s="295"/>
    </row>
    <row r="45" spans="1:9" ht="15.75" x14ac:dyDescent="0.25">
      <c r="A45" s="174" t="s">
        <v>4</v>
      </c>
      <c r="B45" s="181" t="s">
        <v>54</v>
      </c>
      <c r="C45" s="181"/>
      <c r="D45" s="176"/>
      <c r="E45" s="176"/>
      <c r="F45" s="177"/>
      <c r="G45" s="178">
        <v>0.2</v>
      </c>
      <c r="H45" s="177">
        <f t="shared" ref="H45:H52" si="0">SUM($H$37*G45)</f>
        <v>324.33640000000003</v>
      </c>
    </row>
    <row r="46" spans="1:9" ht="15.75" x14ac:dyDescent="0.25">
      <c r="A46" s="174" t="s">
        <v>7</v>
      </c>
      <c r="B46" s="181" t="s">
        <v>55</v>
      </c>
      <c r="C46" s="181"/>
      <c r="D46" s="299" t="s">
        <v>56</v>
      </c>
      <c r="E46" s="299"/>
      <c r="F46" s="177"/>
      <c r="G46" s="162">
        <v>1.4999999999999999E-2</v>
      </c>
      <c r="H46" s="177">
        <f t="shared" si="0"/>
        <v>24.325229999999998</v>
      </c>
    </row>
    <row r="47" spans="1:9" ht="15.75" x14ac:dyDescent="0.25">
      <c r="A47" s="174" t="s">
        <v>9</v>
      </c>
      <c r="B47" s="181" t="s">
        <v>57</v>
      </c>
      <c r="C47" s="181"/>
      <c r="D47" s="299"/>
      <c r="E47" s="299"/>
      <c r="F47" s="177"/>
      <c r="G47" s="162">
        <v>0.01</v>
      </c>
      <c r="H47" s="177">
        <f t="shared" si="0"/>
        <v>16.216820000000002</v>
      </c>
      <c r="I47" s="115"/>
    </row>
    <row r="48" spans="1:9" ht="15.75" x14ac:dyDescent="0.25">
      <c r="A48" s="174" t="s">
        <v>17</v>
      </c>
      <c r="B48" s="181" t="s">
        <v>58</v>
      </c>
      <c r="C48" s="181"/>
      <c r="D48" s="176"/>
      <c r="E48" s="176"/>
      <c r="F48" s="177"/>
      <c r="G48" s="162">
        <v>2E-3</v>
      </c>
      <c r="H48" s="177">
        <f t="shared" si="0"/>
        <v>3.2433640000000001</v>
      </c>
    </row>
    <row r="49" spans="1:9" ht="15.75" x14ac:dyDescent="0.25">
      <c r="A49" s="174" t="s">
        <v>40</v>
      </c>
      <c r="B49" s="181" t="s">
        <v>59</v>
      </c>
      <c r="C49" s="181"/>
      <c r="D49" s="176"/>
      <c r="E49" s="176"/>
      <c r="F49" s="177"/>
      <c r="G49" s="162">
        <v>2.5000000000000001E-2</v>
      </c>
      <c r="H49" s="177">
        <f t="shared" si="0"/>
        <v>40.542050000000003</v>
      </c>
    </row>
    <row r="50" spans="1:9" ht="15.75" x14ac:dyDescent="0.25">
      <c r="A50" s="174" t="s">
        <v>42</v>
      </c>
      <c r="B50" s="181" t="s">
        <v>60</v>
      </c>
      <c r="C50" s="181"/>
      <c r="D50" s="176"/>
      <c r="E50" s="176"/>
      <c r="F50" s="177"/>
      <c r="G50" s="178">
        <v>0.08</v>
      </c>
      <c r="H50" s="177">
        <f t="shared" si="0"/>
        <v>129.73456000000002</v>
      </c>
    </row>
    <row r="51" spans="1:9" ht="15.75" x14ac:dyDescent="0.25">
      <c r="A51" s="189" t="s">
        <v>61</v>
      </c>
      <c r="B51" s="190" t="s">
        <v>62</v>
      </c>
      <c r="C51" s="190"/>
      <c r="D51" s="191"/>
      <c r="E51" s="191"/>
      <c r="F51" s="191"/>
      <c r="G51" s="163">
        <v>0.03</v>
      </c>
      <c r="H51" s="192">
        <f t="shared" si="0"/>
        <v>48.650459999999995</v>
      </c>
    </row>
    <row r="52" spans="1:9" ht="15.75" x14ac:dyDescent="0.25">
      <c r="A52" s="174" t="s">
        <v>43</v>
      </c>
      <c r="B52" s="181" t="s">
        <v>63</v>
      </c>
      <c r="C52" s="181"/>
      <c r="D52" s="176"/>
      <c r="E52" s="176"/>
      <c r="F52" s="177"/>
      <c r="G52" s="162">
        <v>6.0000000000000001E-3</v>
      </c>
      <c r="H52" s="177">
        <f t="shared" si="0"/>
        <v>9.7300920000000009</v>
      </c>
    </row>
    <row r="53" spans="1:9" ht="15.75" x14ac:dyDescent="0.25">
      <c r="A53" s="183"/>
      <c r="B53" s="184" t="s">
        <v>45</v>
      </c>
      <c r="C53" s="184"/>
      <c r="D53" s="184"/>
      <c r="E53" s="184"/>
      <c r="F53" s="193"/>
      <c r="G53" s="194">
        <f>SUM(G45:G52)</f>
        <v>0.3680000000000001</v>
      </c>
      <c r="H53" s="195">
        <f>SUM(H45:H52)</f>
        <v>596.77897599999994</v>
      </c>
      <c r="I53" s="121"/>
    </row>
    <row r="54" spans="1:9" ht="15.75" x14ac:dyDescent="0.25">
      <c r="A54" s="188" t="s">
        <v>64</v>
      </c>
      <c r="B54" s="295" t="s">
        <v>65</v>
      </c>
      <c r="C54" s="295"/>
      <c r="D54" s="295"/>
      <c r="E54" s="295"/>
      <c r="F54" s="295"/>
      <c r="G54" s="295"/>
      <c r="H54" s="295"/>
    </row>
    <row r="55" spans="1:9" ht="15.75" x14ac:dyDescent="0.25">
      <c r="A55" s="176" t="s">
        <v>66</v>
      </c>
      <c r="B55" s="196"/>
      <c r="C55" s="196"/>
      <c r="D55" s="197" t="s">
        <v>67</v>
      </c>
      <c r="E55" s="197" t="s">
        <v>68</v>
      </c>
      <c r="F55" s="197" t="s">
        <v>69</v>
      </c>
      <c r="G55" s="197" t="s">
        <v>70</v>
      </c>
      <c r="H55" s="176"/>
      <c r="I55" t="s">
        <v>257</v>
      </c>
    </row>
    <row r="56" spans="1:9" ht="15.75" x14ac:dyDescent="0.25">
      <c r="A56" s="302" t="s">
        <v>4</v>
      </c>
      <c r="B56" s="176" t="s">
        <v>71</v>
      </c>
      <c r="C56" s="176"/>
      <c r="D56" s="296"/>
      <c r="E56" s="297"/>
      <c r="F56" s="298"/>
      <c r="G56" s="303"/>
      <c r="H56" s="198">
        <f>F56*E56*D56</f>
        <v>0</v>
      </c>
    </row>
    <row r="57" spans="1:9" ht="15.75" x14ac:dyDescent="0.25">
      <c r="A57" s="302"/>
      <c r="B57" s="176" t="s">
        <v>72</v>
      </c>
      <c r="C57" s="176"/>
      <c r="D57" s="296"/>
      <c r="E57" s="296"/>
      <c r="F57" s="296"/>
      <c r="G57" s="296"/>
      <c r="H57" s="198">
        <f>H27*G56</f>
        <v>0</v>
      </c>
    </row>
    <row r="58" spans="1:9" ht="15.75" x14ac:dyDescent="0.25">
      <c r="A58" s="302"/>
      <c r="B58" s="175" t="s">
        <v>73</v>
      </c>
      <c r="C58" s="175"/>
      <c r="D58" s="175"/>
      <c r="E58" s="176"/>
      <c r="F58" s="176"/>
      <c r="G58" s="199"/>
      <c r="H58" s="198">
        <f>H56-H57</f>
        <v>0</v>
      </c>
    </row>
    <row r="59" spans="1:9" ht="15.75" x14ac:dyDescent="0.25">
      <c r="A59" s="302" t="s">
        <v>7</v>
      </c>
      <c r="B59" s="176" t="s">
        <v>74</v>
      </c>
      <c r="C59" s="176"/>
      <c r="D59" s="296">
        <v>1</v>
      </c>
      <c r="E59" s="297">
        <v>1</v>
      </c>
      <c r="F59" s="298">
        <v>0</v>
      </c>
      <c r="G59" s="303">
        <v>0.2</v>
      </c>
      <c r="H59" s="198">
        <f>F59*E59*D59</f>
        <v>0</v>
      </c>
    </row>
    <row r="60" spans="1:9" ht="15.75" x14ac:dyDescent="0.25">
      <c r="A60" s="302"/>
      <c r="B60" s="176" t="s">
        <v>72</v>
      </c>
      <c r="C60" s="176"/>
      <c r="D60" s="296"/>
      <c r="E60" s="296"/>
      <c r="F60" s="296"/>
      <c r="G60" s="296"/>
      <c r="H60" s="198">
        <f>H59*G59</f>
        <v>0</v>
      </c>
    </row>
    <row r="61" spans="1:9" ht="15.75" x14ac:dyDescent="0.25">
      <c r="A61" s="302"/>
      <c r="B61" s="304" t="s">
        <v>75</v>
      </c>
      <c r="C61" s="304"/>
      <c r="D61" s="304"/>
      <c r="E61" s="304"/>
      <c r="F61" s="200"/>
      <c r="G61" s="200"/>
      <c r="H61" s="198">
        <f>H59-H60</f>
        <v>0</v>
      </c>
    </row>
    <row r="62" spans="1:9" ht="15.75" x14ac:dyDescent="0.25">
      <c r="A62" s="201" t="s">
        <v>9</v>
      </c>
      <c r="B62" s="304" t="s">
        <v>267</v>
      </c>
      <c r="C62" s="304"/>
      <c r="D62" s="304"/>
      <c r="E62" s="304"/>
      <c r="F62" s="200"/>
      <c r="G62" s="200"/>
      <c r="H62" s="198">
        <v>100</v>
      </c>
    </row>
    <row r="63" spans="1:9" ht="15.75" x14ac:dyDescent="0.25">
      <c r="A63" s="201" t="s">
        <v>17</v>
      </c>
      <c r="B63" s="202" t="s">
        <v>251</v>
      </c>
      <c r="C63" s="202"/>
      <c r="D63" s="202"/>
      <c r="E63" s="202" t="s">
        <v>163</v>
      </c>
      <c r="F63" s="200"/>
      <c r="G63" s="200"/>
      <c r="H63" s="198">
        <v>11</v>
      </c>
    </row>
    <row r="64" spans="1:9" ht="15.75" x14ac:dyDescent="0.25">
      <c r="A64" s="201" t="s">
        <v>40</v>
      </c>
      <c r="B64" s="203" t="s">
        <v>224</v>
      </c>
      <c r="C64" s="202"/>
      <c r="D64" s="202"/>
      <c r="E64" s="202"/>
      <c r="F64" s="200"/>
      <c r="G64" s="200"/>
      <c r="H64" s="198">
        <v>4.0599999999999996</v>
      </c>
    </row>
    <row r="65" spans="1:13" ht="15.75" x14ac:dyDescent="0.25">
      <c r="A65" s="201" t="s">
        <v>42</v>
      </c>
      <c r="B65" s="203" t="s">
        <v>266</v>
      </c>
      <c r="C65" s="203"/>
      <c r="D65" s="203"/>
      <c r="E65" s="204">
        <v>0</v>
      </c>
      <c r="F65" s="205"/>
      <c r="G65" s="205"/>
      <c r="H65" s="198">
        <v>0</v>
      </c>
      <c r="J65" s="125"/>
      <c r="K65" s="13"/>
      <c r="L65" s="13"/>
      <c r="M65" s="35"/>
    </row>
    <row r="66" spans="1:13" ht="15.75" x14ac:dyDescent="0.25">
      <c r="A66" s="206"/>
      <c r="B66" s="305" t="s">
        <v>45</v>
      </c>
      <c r="C66" s="305"/>
      <c r="D66" s="305"/>
      <c r="E66" s="305"/>
      <c r="F66" s="207"/>
      <c r="G66" s="207"/>
      <c r="H66" s="208">
        <f>H58+H61+H62+H63+H64+H65</f>
        <v>115.06</v>
      </c>
    </row>
    <row r="67" spans="1:13" ht="15.75" x14ac:dyDescent="0.25">
      <c r="A67" s="295" t="s">
        <v>79</v>
      </c>
      <c r="B67" s="295"/>
      <c r="C67" s="295"/>
      <c r="D67" s="295"/>
      <c r="E67" s="295"/>
      <c r="F67" s="295"/>
      <c r="G67" s="295"/>
      <c r="H67" s="295"/>
    </row>
    <row r="68" spans="1:13" ht="15.75" x14ac:dyDescent="0.25">
      <c r="A68" s="201" t="s">
        <v>47</v>
      </c>
      <c r="B68" s="175" t="s">
        <v>80</v>
      </c>
      <c r="C68" s="175"/>
      <c r="D68" s="209"/>
      <c r="E68" s="209"/>
      <c r="F68" s="200"/>
      <c r="G68" s="200"/>
      <c r="H68" s="210">
        <f>H43</f>
        <v>453.23157739679999</v>
      </c>
    </row>
    <row r="69" spans="1:13" ht="15.75" x14ac:dyDescent="0.25">
      <c r="A69" s="201" t="s">
        <v>52</v>
      </c>
      <c r="B69" s="175" t="s">
        <v>81</v>
      </c>
      <c r="C69" s="175"/>
      <c r="D69" s="209"/>
      <c r="E69" s="209"/>
      <c r="F69" s="200"/>
      <c r="G69" s="200"/>
      <c r="H69" s="210">
        <f>H53</f>
        <v>596.77897599999994</v>
      </c>
    </row>
    <row r="70" spans="1:13" ht="15.75" x14ac:dyDescent="0.25">
      <c r="A70" s="201" t="s">
        <v>64</v>
      </c>
      <c r="B70" s="175" t="s">
        <v>82</v>
      </c>
      <c r="C70" s="175"/>
      <c r="D70" s="209"/>
      <c r="E70" s="209"/>
      <c r="F70" s="200"/>
      <c r="G70" s="200"/>
      <c r="H70" s="210">
        <f>H66</f>
        <v>115.06</v>
      </c>
    </row>
    <row r="71" spans="1:13" ht="15.75" x14ac:dyDescent="0.25">
      <c r="A71" s="206"/>
      <c r="B71" s="211" t="s">
        <v>45</v>
      </c>
      <c r="C71" s="211"/>
      <c r="D71" s="211"/>
      <c r="E71" s="211"/>
      <c r="F71" s="207"/>
      <c r="G71" s="207"/>
      <c r="H71" s="208">
        <f>SUM(H68:H70)</f>
        <v>1165.0705533967998</v>
      </c>
    </row>
    <row r="72" spans="1:13" ht="15.75" x14ac:dyDescent="0.25">
      <c r="A72" s="212">
        <v>3</v>
      </c>
      <c r="B72" s="295" t="s">
        <v>83</v>
      </c>
      <c r="C72" s="295"/>
      <c r="D72" s="295"/>
      <c r="E72" s="295"/>
      <c r="F72" s="295"/>
      <c r="G72" s="295"/>
      <c r="H72" s="295"/>
    </row>
    <row r="73" spans="1:13" ht="15.75" x14ac:dyDescent="0.25">
      <c r="A73" s="174" t="s">
        <v>4</v>
      </c>
      <c r="B73" s="181" t="s">
        <v>84</v>
      </c>
      <c r="C73" s="181"/>
      <c r="D73" s="213"/>
      <c r="E73" s="213"/>
      <c r="F73" s="213"/>
      <c r="G73" s="178">
        <f>1/12*5%</f>
        <v>4.1666666666666666E-3</v>
      </c>
      <c r="H73" s="177">
        <f>SUM($H$37*G73)</f>
        <v>6.7570083333333333</v>
      </c>
    </row>
    <row r="74" spans="1:13" ht="15.75" x14ac:dyDescent="0.25">
      <c r="A74" s="174" t="s">
        <v>7</v>
      </c>
      <c r="B74" s="181" t="s">
        <v>85</v>
      </c>
      <c r="C74" s="181"/>
      <c r="D74" s="176"/>
      <c r="E74" s="176"/>
      <c r="F74" s="177"/>
      <c r="G74" s="178">
        <f>G73*0.08</f>
        <v>3.3333333333333332E-4</v>
      </c>
      <c r="H74" s="177">
        <f>SUM($H$37*G74)</f>
        <v>0.54056066666666669</v>
      </c>
      <c r="I74" s="115"/>
    </row>
    <row r="75" spans="1:13" ht="15.75" x14ac:dyDescent="0.25">
      <c r="A75" s="174" t="s">
        <v>9</v>
      </c>
      <c r="B75" s="181" t="s">
        <v>86</v>
      </c>
      <c r="C75" s="181"/>
      <c r="D75" s="214"/>
      <c r="E75" s="214"/>
      <c r="F75" s="214"/>
      <c r="G75" s="164">
        <f>(0.08*0.4*0.9)*(1+0.0833+0.121)</f>
        <v>3.4683840000000001E-2</v>
      </c>
      <c r="H75" s="215">
        <f>(ROUND(SUM($H$37*G75),2))</f>
        <v>56.25</v>
      </c>
    </row>
    <row r="76" spans="1:13" ht="15.75" x14ac:dyDescent="0.25">
      <c r="A76" s="174" t="s">
        <v>17</v>
      </c>
      <c r="B76" s="176" t="s">
        <v>87</v>
      </c>
      <c r="C76" s="176"/>
      <c r="D76" s="213"/>
      <c r="E76" s="213"/>
      <c r="F76" s="213"/>
      <c r="G76" s="178">
        <v>1.9400000000000001E-2</v>
      </c>
      <c r="H76" s="177">
        <f>SUM($H$37*G76)</f>
        <v>31.460630800000001</v>
      </c>
    </row>
    <row r="77" spans="1:13" ht="15.75" x14ac:dyDescent="0.25">
      <c r="A77" s="174" t="s">
        <v>40</v>
      </c>
      <c r="B77" s="181" t="s">
        <v>226</v>
      </c>
      <c r="C77" s="181"/>
      <c r="D77" s="176"/>
      <c r="E77" s="176"/>
      <c r="F77" s="177"/>
      <c r="G77" s="178">
        <f>G76*G53</f>
        <v>7.1392000000000027E-3</v>
      </c>
      <c r="H77" s="177">
        <f>SUM($H$37*G77)</f>
        <v>11.577512134400004</v>
      </c>
      <c r="I77" s="115"/>
    </row>
    <row r="78" spans="1:13" ht="15.75" x14ac:dyDescent="0.25">
      <c r="A78" s="174" t="s">
        <v>42</v>
      </c>
      <c r="B78" s="176" t="s">
        <v>89</v>
      </c>
      <c r="C78" s="176"/>
      <c r="D78" s="214"/>
      <c r="E78" s="214"/>
      <c r="F78" s="214"/>
      <c r="G78" s="162">
        <f>4%-G75</f>
        <v>5.3161600000000003E-3</v>
      </c>
      <c r="H78" s="177">
        <f>SUM($H$37*G78)</f>
        <v>8.6211209811200007</v>
      </c>
    </row>
    <row r="79" spans="1:13" ht="15.75" x14ac:dyDescent="0.25">
      <c r="A79" s="216"/>
      <c r="B79" s="184" t="s">
        <v>45</v>
      </c>
      <c r="C79" s="184"/>
      <c r="D79" s="185"/>
      <c r="E79" s="185"/>
      <c r="F79" s="217"/>
      <c r="G79" s="194">
        <f>SUM(G73:G78)</f>
        <v>7.1039199999999997E-2</v>
      </c>
      <c r="H79" s="195">
        <f>SUM(H73:H78)</f>
        <v>115.20683291552001</v>
      </c>
    </row>
    <row r="80" spans="1:13" ht="15.75" x14ac:dyDescent="0.25">
      <c r="A80" s="172">
        <v>4</v>
      </c>
      <c r="B80" s="306" t="s">
        <v>90</v>
      </c>
      <c r="C80" s="306"/>
      <c r="D80" s="306"/>
      <c r="E80" s="306"/>
      <c r="F80" s="306"/>
      <c r="G80" s="306"/>
      <c r="H80" s="306"/>
    </row>
    <row r="81" spans="1:9" ht="15.75" x14ac:dyDescent="0.25">
      <c r="A81" s="218" t="s">
        <v>91</v>
      </c>
      <c r="B81" s="295" t="s">
        <v>237</v>
      </c>
      <c r="C81" s="295"/>
      <c r="D81" s="295"/>
      <c r="E81" s="295"/>
      <c r="F81" s="295"/>
      <c r="G81" s="295"/>
      <c r="H81" s="295"/>
    </row>
    <row r="82" spans="1:9" ht="15.75" x14ac:dyDescent="0.25">
      <c r="A82" s="174" t="s">
        <v>4</v>
      </c>
      <c r="B82" s="181" t="s">
        <v>227</v>
      </c>
      <c r="C82" s="181"/>
      <c r="D82" s="213"/>
      <c r="E82" s="213"/>
      <c r="F82" s="213"/>
      <c r="G82" s="178">
        <v>0</v>
      </c>
      <c r="H82" s="177"/>
    </row>
    <row r="83" spans="1:9" ht="15.75" x14ac:dyDescent="0.25">
      <c r="A83" s="219" t="s">
        <v>7</v>
      </c>
      <c r="B83" s="181" t="s">
        <v>228</v>
      </c>
      <c r="C83" s="307" t="s">
        <v>95</v>
      </c>
      <c r="D83" s="167">
        <v>5.96</v>
      </c>
      <c r="E83" s="307" t="s">
        <v>96</v>
      </c>
      <c r="F83" s="169">
        <v>1</v>
      </c>
      <c r="G83" s="178">
        <f t="shared" ref="G83:G88" si="1">D83/360*F83</f>
        <v>1.6555555555555556E-2</v>
      </c>
      <c r="H83" s="177">
        <f>SUM(H$37*G83)</f>
        <v>26.847846444444446</v>
      </c>
    </row>
    <row r="84" spans="1:9" ht="15.75" x14ac:dyDescent="0.25">
      <c r="A84" s="174" t="s">
        <v>9</v>
      </c>
      <c r="B84" s="181" t="s">
        <v>229</v>
      </c>
      <c r="C84" s="307"/>
      <c r="D84" s="167">
        <v>5</v>
      </c>
      <c r="E84" s="307"/>
      <c r="F84" s="169">
        <v>1.4999999999999999E-2</v>
      </c>
      <c r="G84" s="178">
        <f t="shared" si="1"/>
        <v>2.0833333333333332E-4</v>
      </c>
      <c r="H84" s="177">
        <f>SUM(H$37*G84)</f>
        <v>0.33785041666666665</v>
      </c>
    </row>
    <row r="85" spans="1:9" ht="15.75" x14ac:dyDescent="0.25">
      <c r="A85" s="174" t="s">
        <v>17</v>
      </c>
      <c r="B85" s="181" t="s">
        <v>230</v>
      </c>
      <c r="C85" s="307"/>
      <c r="D85" s="167">
        <v>15</v>
      </c>
      <c r="E85" s="307"/>
      <c r="F85" s="170">
        <v>7.7999999999999996E-3</v>
      </c>
      <c r="G85" s="178">
        <f t="shared" si="1"/>
        <v>3.2499999999999999E-4</v>
      </c>
      <c r="H85" s="177">
        <f>SUM(H$37*G85)</f>
        <v>0.52704664999999995</v>
      </c>
    </row>
    <row r="86" spans="1:9" ht="15.75" x14ac:dyDescent="0.25">
      <c r="A86" s="174" t="s">
        <v>40</v>
      </c>
      <c r="B86" s="181" t="s">
        <v>231</v>
      </c>
      <c r="C86" s="307"/>
      <c r="D86" s="167">
        <v>120</v>
      </c>
      <c r="E86" s="307"/>
      <c r="F86" s="169"/>
      <c r="G86" s="178">
        <v>5.9999999999999995E-4</v>
      </c>
      <c r="H86" s="177">
        <f>SUM(H$37*G86)</f>
        <v>0.97300919999999991</v>
      </c>
    </row>
    <row r="87" spans="1:9" ht="15.75" x14ac:dyDescent="0.25">
      <c r="A87" s="174" t="s">
        <v>42</v>
      </c>
      <c r="B87" s="181" t="s">
        <v>101</v>
      </c>
      <c r="C87" s="307"/>
      <c r="D87" s="168"/>
      <c r="E87" s="307"/>
      <c r="F87" s="171"/>
      <c r="G87" s="178">
        <f t="shared" si="1"/>
        <v>0</v>
      </c>
      <c r="H87" s="220">
        <f>SUM(H$37*G87)</f>
        <v>0</v>
      </c>
    </row>
    <row r="88" spans="1:9" ht="15.75" x14ac:dyDescent="0.25">
      <c r="A88" s="174" t="s">
        <v>61</v>
      </c>
      <c r="B88" s="181"/>
      <c r="C88" s="307"/>
      <c r="D88" s="168"/>
      <c r="E88" s="307"/>
      <c r="F88" s="221"/>
      <c r="G88" s="178">
        <f t="shared" si="1"/>
        <v>0</v>
      </c>
      <c r="H88" s="220"/>
    </row>
    <row r="89" spans="1:9" ht="15.75" x14ac:dyDescent="0.25">
      <c r="A89" s="200"/>
      <c r="B89" s="176" t="s">
        <v>102</v>
      </c>
      <c r="C89" s="176"/>
      <c r="D89" s="176"/>
      <c r="E89" s="176"/>
      <c r="F89" s="177"/>
      <c r="G89" s="178">
        <f>SUM(G82:G88)</f>
        <v>1.7688888888888889E-2</v>
      </c>
      <c r="H89" s="177">
        <f>SUM(H82:H88)</f>
        <v>28.68575271111111</v>
      </c>
    </row>
    <row r="90" spans="1:9" ht="15.75" x14ac:dyDescent="0.25">
      <c r="A90" s="174" t="s">
        <v>42</v>
      </c>
      <c r="B90" s="181" t="s">
        <v>103</v>
      </c>
      <c r="C90" s="181"/>
      <c r="D90" s="176"/>
      <c r="E90" s="176"/>
      <c r="F90" s="177"/>
      <c r="G90" s="178">
        <v>0</v>
      </c>
      <c r="H90" s="177">
        <v>0</v>
      </c>
      <c r="I90" s="115"/>
    </row>
    <row r="91" spans="1:9" ht="15.75" x14ac:dyDescent="0.25">
      <c r="A91" s="216"/>
      <c r="B91" s="184" t="s">
        <v>45</v>
      </c>
      <c r="C91" s="184"/>
      <c r="D91" s="185"/>
      <c r="E91" s="185"/>
      <c r="F91" s="217"/>
      <c r="G91" s="194">
        <f>G90+G89</f>
        <v>1.7688888888888889E-2</v>
      </c>
      <c r="H91" s="195">
        <f>SUM(H89:H90)</f>
        <v>28.68575271111111</v>
      </c>
    </row>
    <row r="92" spans="1:9" ht="15.75" x14ac:dyDescent="0.25">
      <c r="A92" s="218" t="s">
        <v>104</v>
      </c>
      <c r="B92" s="295" t="s">
        <v>233</v>
      </c>
      <c r="C92" s="295"/>
      <c r="D92" s="295"/>
      <c r="E92" s="295"/>
      <c r="F92" s="295"/>
      <c r="G92" s="295"/>
      <c r="H92" s="295"/>
    </row>
    <row r="93" spans="1:9" ht="15.75" x14ac:dyDescent="0.25">
      <c r="A93" s="174" t="s">
        <v>4</v>
      </c>
      <c r="B93" s="181" t="s">
        <v>235</v>
      </c>
      <c r="C93" s="181"/>
      <c r="D93" s="213"/>
      <c r="E93" s="213"/>
      <c r="F93" s="213"/>
      <c r="G93" s="162">
        <v>0</v>
      </c>
      <c r="H93" s="177">
        <f>SUM(H$37*G93)</f>
        <v>0</v>
      </c>
    </row>
    <row r="94" spans="1:9" ht="15.75" x14ac:dyDescent="0.25">
      <c r="A94" s="174" t="s">
        <v>7</v>
      </c>
      <c r="B94" s="181" t="s">
        <v>107</v>
      </c>
      <c r="C94" s="181"/>
      <c r="D94" s="213"/>
      <c r="E94" s="213"/>
      <c r="F94" s="213"/>
      <c r="G94" s="178">
        <f>G93*G53</f>
        <v>0</v>
      </c>
      <c r="H94" s="177">
        <f>SUM($H$37*G94)</f>
        <v>0</v>
      </c>
    </row>
    <row r="95" spans="1:9" ht="15.75" x14ac:dyDescent="0.25">
      <c r="A95" s="216"/>
      <c r="B95" s="184" t="s">
        <v>45</v>
      </c>
      <c r="C95" s="184"/>
      <c r="D95" s="185"/>
      <c r="E95" s="185"/>
      <c r="F95" s="217"/>
      <c r="G95" s="194">
        <f>G94+G93</f>
        <v>0</v>
      </c>
      <c r="H95" s="195">
        <f>SUM(H93:H94)</f>
        <v>0</v>
      </c>
    </row>
    <row r="96" spans="1:9" ht="15.75" x14ac:dyDescent="0.25">
      <c r="A96" s="295" t="s">
        <v>108</v>
      </c>
      <c r="B96" s="295"/>
      <c r="C96" s="295"/>
      <c r="D96" s="295"/>
      <c r="E96" s="295"/>
      <c r="F96" s="295"/>
      <c r="G96" s="295"/>
      <c r="H96" s="295"/>
    </row>
    <row r="97" spans="1:10" ht="15.75" x14ac:dyDescent="0.25">
      <c r="A97" s="174" t="s">
        <v>91</v>
      </c>
      <c r="B97" s="181" t="s">
        <v>236</v>
      </c>
      <c r="C97" s="181"/>
      <c r="D97" s="213"/>
      <c r="E97" s="213"/>
      <c r="F97" s="213"/>
      <c r="G97" s="178">
        <f>G91</f>
        <v>1.7688888888888889E-2</v>
      </c>
      <c r="H97" s="177">
        <f>H91</f>
        <v>28.68575271111111</v>
      </c>
    </row>
    <row r="98" spans="1:10" ht="15.75" x14ac:dyDescent="0.25">
      <c r="A98" s="174" t="s">
        <v>104</v>
      </c>
      <c r="B98" s="181" t="s">
        <v>234</v>
      </c>
      <c r="C98" s="181"/>
      <c r="D98" s="213"/>
      <c r="E98" s="213"/>
      <c r="F98" s="213"/>
      <c r="G98" s="178">
        <f>G95</f>
        <v>0</v>
      </c>
      <c r="H98" s="177">
        <f>H95</f>
        <v>0</v>
      </c>
    </row>
    <row r="99" spans="1:10" ht="15.75" x14ac:dyDescent="0.25">
      <c r="A99" s="216"/>
      <c r="B99" s="184" t="s">
        <v>45</v>
      </c>
      <c r="C99" s="184"/>
      <c r="D99" s="185"/>
      <c r="E99" s="185"/>
      <c r="F99" s="217"/>
      <c r="G99" s="194">
        <f>G95+G91</f>
        <v>1.7688888888888889E-2</v>
      </c>
      <c r="H99" s="195">
        <f>SUM(H97:H98)</f>
        <v>28.68575271111111</v>
      </c>
    </row>
    <row r="100" spans="1:10" ht="15.75" x14ac:dyDescent="0.25">
      <c r="A100" s="218">
        <v>5</v>
      </c>
      <c r="B100" s="295" t="s">
        <v>110</v>
      </c>
      <c r="C100" s="295"/>
      <c r="D100" s="295"/>
      <c r="E100" s="295"/>
      <c r="F100" s="295"/>
      <c r="G100" s="295"/>
      <c r="H100" s="295"/>
    </row>
    <row r="101" spans="1:10" ht="15.75" x14ac:dyDescent="0.25">
      <c r="A101" s="174" t="s">
        <v>4</v>
      </c>
      <c r="B101" s="200" t="s">
        <v>111</v>
      </c>
      <c r="C101" s="200"/>
      <c r="D101" s="222"/>
      <c r="E101" s="176"/>
      <c r="F101" s="198"/>
      <c r="G101" s="198"/>
      <c r="H101" s="198">
        <v>16.920000000000002</v>
      </c>
    </row>
    <row r="102" spans="1:10" ht="15.75" x14ac:dyDescent="0.25">
      <c r="A102" s="174" t="s">
        <v>7</v>
      </c>
      <c r="B102" s="200" t="s">
        <v>112</v>
      </c>
      <c r="C102" s="200"/>
      <c r="D102" s="222"/>
      <c r="E102" s="176"/>
      <c r="F102" s="198"/>
      <c r="G102" s="198"/>
      <c r="H102" s="198"/>
    </row>
    <row r="103" spans="1:10" ht="15.75" x14ac:dyDescent="0.25">
      <c r="A103" s="174" t="s">
        <v>9</v>
      </c>
      <c r="B103" s="200" t="s">
        <v>113</v>
      </c>
      <c r="C103" s="200"/>
      <c r="D103" s="222"/>
      <c r="E103" s="176"/>
      <c r="F103" s="198"/>
      <c r="G103" s="198"/>
      <c r="H103" s="198"/>
    </row>
    <row r="104" spans="1:10" ht="15.75" x14ac:dyDescent="0.25">
      <c r="A104" s="174" t="s">
        <v>17</v>
      </c>
      <c r="B104" s="200" t="s">
        <v>164</v>
      </c>
      <c r="C104" s="200"/>
      <c r="D104" s="222"/>
      <c r="E104" s="176"/>
      <c r="F104" s="198"/>
      <c r="G104" s="198"/>
      <c r="H104" s="198">
        <v>36.94</v>
      </c>
    </row>
    <row r="105" spans="1:10" ht="15.75" x14ac:dyDescent="0.25">
      <c r="A105" s="174" t="s">
        <v>40</v>
      </c>
      <c r="B105" s="200" t="s">
        <v>249</v>
      </c>
      <c r="C105" s="200"/>
      <c r="D105" s="222"/>
      <c r="E105" s="176"/>
      <c r="F105" s="198"/>
      <c r="G105" s="198"/>
      <c r="H105" s="198">
        <v>3.76</v>
      </c>
    </row>
    <row r="106" spans="1:10" ht="15.75" x14ac:dyDescent="0.25">
      <c r="A106" s="216"/>
      <c r="B106" s="184" t="s">
        <v>45</v>
      </c>
      <c r="C106" s="184"/>
      <c r="D106" s="185"/>
      <c r="E106" s="185"/>
      <c r="F106" s="217"/>
      <c r="G106" s="194"/>
      <c r="H106" s="195">
        <f>SUM(H101:H105)</f>
        <v>57.62</v>
      </c>
    </row>
    <row r="107" spans="1:10" ht="15.75" x14ac:dyDescent="0.25">
      <c r="A107" s="218">
        <v>6</v>
      </c>
      <c r="B107" s="295" t="s">
        <v>114</v>
      </c>
      <c r="C107" s="295"/>
      <c r="D107" s="295"/>
      <c r="E107" s="295"/>
      <c r="F107" s="295"/>
      <c r="G107" s="295"/>
      <c r="H107" s="295"/>
    </row>
    <row r="108" spans="1:10" ht="15.75" x14ac:dyDescent="0.25">
      <c r="A108" s="223" t="s">
        <v>4</v>
      </c>
      <c r="B108" s="176"/>
      <c r="C108" s="176"/>
      <c r="D108" s="176"/>
      <c r="E108" s="176"/>
      <c r="F108" s="176" t="s">
        <v>115</v>
      </c>
      <c r="G108" s="162">
        <v>0.03</v>
      </c>
      <c r="H108" s="177">
        <f>G108*H123</f>
        <v>89.647954170702931</v>
      </c>
    </row>
    <row r="109" spans="1:10" ht="15.75" x14ac:dyDescent="0.25">
      <c r="A109" s="223" t="s">
        <v>7</v>
      </c>
      <c r="B109" s="176"/>
      <c r="C109" s="176"/>
      <c r="D109" s="176"/>
      <c r="E109" s="176"/>
      <c r="F109" s="174" t="s">
        <v>116</v>
      </c>
      <c r="G109" s="162">
        <v>6.7900000000000002E-2</v>
      </c>
      <c r="H109" s="177">
        <f>(H108+H123)*$G$109</f>
        <v>208.99029902788172</v>
      </c>
    </row>
    <row r="110" spans="1:10" ht="15.75" x14ac:dyDescent="0.25">
      <c r="A110" s="223" t="s">
        <v>9</v>
      </c>
      <c r="B110" s="176"/>
      <c r="C110" s="176"/>
      <c r="D110" s="176"/>
      <c r="E110" s="176"/>
      <c r="F110" s="174" t="s">
        <v>117</v>
      </c>
      <c r="G110" s="224">
        <f>SUM(G111:G115)</f>
        <v>8.6499999999999994E-2</v>
      </c>
      <c r="H110" s="177">
        <f>H112+H113+H115</f>
        <v>311.23934693727904</v>
      </c>
    </row>
    <row r="111" spans="1:10" ht="15.75" x14ac:dyDescent="0.25">
      <c r="A111" s="223" t="s">
        <v>118</v>
      </c>
      <c r="B111" s="176"/>
      <c r="C111" s="176"/>
      <c r="D111" s="176"/>
      <c r="E111" s="176"/>
      <c r="F111" s="225" t="s">
        <v>119</v>
      </c>
      <c r="G111" s="178">
        <v>0</v>
      </c>
      <c r="H111" s="177"/>
    </row>
    <row r="112" spans="1:10" ht="15.75" x14ac:dyDescent="0.25">
      <c r="A112" s="223" t="s">
        <v>120</v>
      </c>
      <c r="B112" s="176"/>
      <c r="C112" s="176"/>
      <c r="D112" s="176"/>
      <c r="E112" s="176"/>
      <c r="F112" s="225" t="s">
        <v>121</v>
      </c>
      <c r="G112" s="162">
        <v>6.4999999999999997E-3</v>
      </c>
      <c r="H112" s="177">
        <f>((H108+H109+H123)/0.9135)*$G$112</f>
        <v>23.387927804535416</v>
      </c>
      <c r="J112" s="120"/>
    </row>
    <row r="113" spans="1:9" ht="15.75" x14ac:dyDescent="0.25">
      <c r="A113" s="223" t="s">
        <v>122</v>
      </c>
      <c r="B113" s="176"/>
      <c r="C113" s="176"/>
      <c r="D113" s="176"/>
      <c r="E113" s="176"/>
      <c r="F113" s="225" t="s">
        <v>123</v>
      </c>
      <c r="G113" s="162">
        <v>0.03</v>
      </c>
      <c r="H113" s="177">
        <f>((H108+H109+H123)/0.9135)*G113</f>
        <v>107.94428217477883</v>
      </c>
    </row>
    <row r="114" spans="1:9" ht="15.75" x14ac:dyDescent="0.25">
      <c r="A114" s="223" t="s">
        <v>124</v>
      </c>
      <c r="B114" s="176"/>
      <c r="C114" s="176"/>
      <c r="D114" s="176"/>
      <c r="E114" s="176"/>
      <c r="F114" s="225" t="s">
        <v>125</v>
      </c>
      <c r="G114" s="178">
        <v>0</v>
      </c>
      <c r="H114" s="177"/>
    </row>
    <row r="115" spans="1:9" ht="15.75" x14ac:dyDescent="0.25">
      <c r="A115" s="223" t="s">
        <v>126</v>
      </c>
      <c r="B115" s="176"/>
      <c r="C115" s="176"/>
      <c r="D115" s="176"/>
      <c r="E115" s="176"/>
      <c r="F115" s="225" t="s">
        <v>127</v>
      </c>
      <c r="G115" s="178">
        <v>0.05</v>
      </c>
      <c r="H115" s="177">
        <f>((H108+H109+H123)/0.9135)*G115</f>
        <v>179.90713695796475</v>
      </c>
    </row>
    <row r="116" spans="1:9" ht="15.75" x14ac:dyDescent="0.25">
      <c r="A116" s="216"/>
      <c r="B116" s="184" t="s">
        <v>45</v>
      </c>
      <c r="C116" s="184"/>
      <c r="D116" s="185"/>
      <c r="E116" s="185"/>
      <c r="F116" s="217"/>
      <c r="G116" s="194">
        <f>G110+G109+G108</f>
        <v>0.18439999999999998</v>
      </c>
      <c r="H116" s="195">
        <f>H108+H109+H110</f>
        <v>609.87760013586376</v>
      </c>
    </row>
    <row r="117" spans="1:9" ht="15.75" x14ac:dyDescent="0.25">
      <c r="A117" s="226"/>
      <c r="B117" s="295" t="s">
        <v>128</v>
      </c>
      <c r="C117" s="295"/>
      <c r="D117" s="295"/>
      <c r="E117" s="295"/>
      <c r="F117" s="295"/>
      <c r="G117" s="295"/>
      <c r="H117" s="295"/>
      <c r="I117" s="115"/>
    </row>
    <row r="118" spans="1:9" ht="15.75" x14ac:dyDescent="0.25">
      <c r="A118" s="227" t="s">
        <v>4</v>
      </c>
      <c r="B118" s="176" t="s">
        <v>30</v>
      </c>
      <c r="C118" s="176"/>
      <c r="D118" s="176"/>
      <c r="E118" s="176"/>
      <c r="F118" s="177"/>
      <c r="G118" s="178">
        <f>SUM(H118/H$125)</f>
        <v>0.45069974082765424</v>
      </c>
      <c r="H118" s="177">
        <f>SUM(H37)</f>
        <v>1621.682</v>
      </c>
      <c r="I118" s="115"/>
    </row>
    <row r="119" spans="1:9" ht="15.75" x14ac:dyDescent="0.25">
      <c r="A119" s="227" t="s">
        <v>7</v>
      </c>
      <c r="B119" s="176" t="s">
        <v>129</v>
      </c>
      <c r="C119" s="176"/>
      <c r="D119" s="176"/>
      <c r="E119" s="176"/>
      <c r="F119" s="177"/>
      <c r="G119" s="178">
        <f>SUM(H119/H$125)</f>
        <v>0.32379775841494779</v>
      </c>
      <c r="H119" s="177">
        <f>H71</f>
        <v>1165.0705533967998</v>
      </c>
    </row>
    <row r="120" spans="1:9" ht="15.75" x14ac:dyDescent="0.25">
      <c r="A120" s="227" t="s">
        <v>9</v>
      </c>
      <c r="B120" s="176" t="s">
        <v>130</v>
      </c>
      <c r="C120" s="176"/>
      <c r="D120" s="176"/>
      <c r="E120" s="176"/>
      <c r="F120" s="177"/>
      <c r="G120" s="178">
        <f>SUM(H120/H$125)</f>
        <v>3.2018416518528131E-2</v>
      </c>
      <c r="H120" s="177">
        <f>H79</f>
        <v>115.20683291552001</v>
      </c>
    </row>
    <row r="121" spans="1:9" ht="15.75" x14ac:dyDescent="0.25">
      <c r="A121" s="227" t="s">
        <v>17</v>
      </c>
      <c r="B121" s="176" t="s">
        <v>131</v>
      </c>
      <c r="C121" s="176"/>
      <c r="D121" s="176"/>
      <c r="E121" s="176"/>
      <c r="F121" s="177"/>
      <c r="G121" s="178">
        <f>SUM(H121/H$125)</f>
        <v>7.9723776377513943E-3</v>
      </c>
      <c r="H121" s="177">
        <f>H99</f>
        <v>28.68575271111111</v>
      </c>
    </row>
    <row r="122" spans="1:9" ht="15.75" x14ac:dyDescent="0.25">
      <c r="A122" s="227" t="s">
        <v>40</v>
      </c>
      <c r="B122" s="176" t="s">
        <v>110</v>
      </c>
      <c r="C122" s="176"/>
      <c r="D122" s="176"/>
      <c r="E122" s="176"/>
      <c r="F122" s="177"/>
      <c r="G122" s="178">
        <f>H122/H125</f>
        <v>1.6013817176542277E-2</v>
      </c>
      <c r="H122" s="177">
        <f>H106</f>
        <v>57.62</v>
      </c>
    </row>
    <row r="123" spans="1:9" ht="15.75" x14ac:dyDescent="0.25">
      <c r="A123" s="227"/>
      <c r="B123" s="176" t="s">
        <v>132</v>
      </c>
      <c r="C123" s="176"/>
      <c r="D123" s="176"/>
      <c r="E123" s="176"/>
      <c r="F123" s="177"/>
      <c r="G123" s="178">
        <f>SUM(G118:G122)</f>
        <v>0.83050211057542378</v>
      </c>
      <c r="H123" s="177">
        <f>SUM(H118:H122)</f>
        <v>2988.2651390234309</v>
      </c>
    </row>
    <row r="124" spans="1:9" ht="15.75" x14ac:dyDescent="0.25">
      <c r="A124" s="227" t="s">
        <v>40</v>
      </c>
      <c r="B124" s="176" t="s">
        <v>133</v>
      </c>
      <c r="C124" s="176"/>
      <c r="D124" s="176"/>
      <c r="E124" s="176"/>
      <c r="F124" s="177"/>
      <c r="G124" s="178">
        <f>SUM(H124/H$125)</f>
        <v>0.16949788942457616</v>
      </c>
      <c r="H124" s="177">
        <f>H116</f>
        <v>609.87760013586376</v>
      </c>
    </row>
    <row r="125" spans="1:9" ht="15.75" x14ac:dyDescent="0.25">
      <c r="A125" s="184"/>
      <c r="B125" s="184" t="s">
        <v>134</v>
      </c>
      <c r="C125" s="184"/>
      <c r="D125" s="184"/>
      <c r="E125" s="184"/>
      <c r="F125" s="184"/>
      <c r="G125" s="184">
        <f>SUM(G123+G124)</f>
        <v>1</v>
      </c>
      <c r="H125" s="228">
        <f>H124+H123</f>
        <v>3598.1427391592947</v>
      </c>
    </row>
    <row r="126" spans="1:9" ht="15.75" x14ac:dyDescent="0.25">
      <c r="A126" s="229"/>
      <c r="B126" s="295" t="s">
        <v>135</v>
      </c>
      <c r="C126" s="295"/>
      <c r="D126" s="295"/>
      <c r="E126" s="295"/>
      <c r="F126" s="295"/>
      <c r="G126" s="295"/>
      <c r="H126" s="295"/>
    </row>
    <row r="127" spans="1:9" ht="47.25" x14ac:dyDescent="0.25">
      <c r="A127" s="176"/>
      <c r="B127" s="230" t="s">
        <v>20</v>
      </c>
      <c r="C127" s="230"/>
      <c r="D127" s="231" t="s">
        <v>136</v>
      </c>
      <c r="E127" s="231" t="s">
        <v>137</v>
      </c>
      <c r="F127" s="232" t="s">
        <v>138</v>
      </c>
      <c r="G127" s="231" t="s">
        <v>139</v>
      </c>
      <c r="H127" s="233" t="s">
        <v>140</v>
      </c>
    </row>
    <row r="128" spans="1:9" ht="15.75" x14ac:dyDescent="0.25">
      <c r="A128" s="176"/>
      <c r="B128" s="223" t="s">
        <v>141</v>
      </c>
      <c r="C128" s="223"/>
      <c r="D128" s="223" t="s">
        <v>142</v>
      </c>
      <c r="E128" s="231" t="s">
        <v>143</v>
      </c>
      <c r="F128" s="232" t="s">
        <v>144</v>
      </c>
      <c r="G128" s="223" t="s">
        <v>145</v>
      </c>
      <c r="H128" s="234" t="s">
        <v>146</v>
      </c>
    </row>
    <row r="129" spans="1:8" ht="15.75" x14ac:dyDescent="0.25">
      <c r="A129" s="174"/>
      <c r="B129" s="235"/>
      <c r="C129" s="235"/>
      <c r="D129" s="236">
        <f>SUM(H125)</f>
        <v>3598.1427391592947</v>
      </c>
      <c r="E129" s="165">
        <v>6</v>
      </c>
      <c r="F129" s="236">
        <f>D129*E129</f>
        <v>21588.856434955767</v>
      </c>
      <c r="G129" s="166">
        <v>1</v>
      </c>
      <c r="H129" s="177">
        <f>E129*D129</f>
        <v>21588.856434955767</v>
      </c>
    </row>
    <row r="130" spans="1:8" ht="15.75" x14ac:dyDescent="0.25">
      <c r="A130" s="176"/>
      <c r="B130" s="230" t="s">
        <v>147</v>
      </c>
      <c r="C130" s="230"/>
      <c r="D130" s="200"/>
      <c r="E130" s="200"/>
      <c r="F130" s="200"/>
      <c r="G130" s="200"/>
      <c r="H130" s="237">
        <f>SUM(H129)</f>
        <v>21588.856434955767</v>
      </c>
    </row>
    <row r="131" spans="1:8" ht="15.75" x14ac:dyDescent="0.25">
      <c r="A131" s="176"/>
      <c r="B131" s="230"/>
      <c r="C131" s="230"/>
      <c r="D131" s="238"/>
      <c r="E131" s="230"/>
      <c r="F131" s="230"/>
      <c r="G131" s="230"/>
      <c r="H131" s="230"/>
    </row>
    <row r="132" spans="1:8" ht="15.75" x14ac:dyDescent="0.25">
      <c r="A132" s="218"/>
      <c r="B132" s="295" t="s">
        <v>148</v>
      </c>
      <c r="C132" s="295"/>
      <c r="D132" s="295"/>
      <c r="E132" s="295"/>
      <c r="F132" s="295"/>
      <c r="G132" s="295"/>
      <c r="H132" s="295"/>
    </row>
    <row r="133" spans="1:8" ht="15.75" x14ac:dyDescent="0.25">
      <c r="A133" s="239"/>
      <c r="B133" s="239" t="s">
        <v>149</v>
      </c>
      <c r="C133" s="239"/>
      <c r="D133" s="239"/>
      <c r="E133" s="230"/>
      <c r="F133" s="230"/>
      <c r="G133" s="230"/>
      <c r="H133" s="240" t="s">
        <v>150</v>
      </c>
    </row>
    <row r="134" spans="1:8" ht="15.75" x14ac:dyDescent="0.25">
      <c r="A134" s="241" t="s">
        <v>4</v>
      </c>
      <c r="B134" s="242" t="s">
        <v>151</v>
      </c>
      <c r="C134" s="242"/>
      <c r="D134" s="242"/>
      <c r="E134" s="200"/>
      <c r="F134" s="200"/>
      <c r="G134" s="200"/>
      <c r="H134" s="240">
        <f>D129</f>
        <v>3598.1427391592947</v>
      </c>
    </row>
    <row r="135" spans="1:8" ht="15.75" x14ac:dyDescent="0.25">
      <c r="A135" s="241" t="s">
        <v>7</v>
      </c>
      <c r="B135" s="242" t="s">
        <v>152</v>
      </c>
      <c r="C135" s="242"/>
      <c r="D135" s="242"/>
      <c r="E135" s="200"/>
      <c r="F135" s="200"/>
      <c r="G135" s="200"/>
      <c r="H135" s="240">
        <f>H130</f>
        <v>21588.856434955767</v>
      </c>
    </row>
    <row r="136" spans="1:8" ht="15.75" x14ac:dyDescent="0.25">
      <c r="A136" s="241" t="s">
        <v>17</v>
      </c>
      <c r="B136" s="175" t="s">
        <v>153</v>
      </c>
      <c r="C136" s="175"/>
      <c r="D136" s="242"/>
      <c r="E136" s="200"/>
      <c r="F136" s="200"/>
      <c r="G136" s="165">
        <v>12</v>
      </c>
      <c r="H136" s="240">
        <f>SUM(H135*G136)</f>
        <v>259066.27721946919</v>
      </c>
    </row>
    <row r="137" spans="1:8" ht="15.75" x14ac:dyDescent="0.25">
      <c r="A137" s="6"/>
      <c r="B137" s="6"/>
      <c r="C137" s="6"/>
      <c r="D137" s="6"/>
      <c r="E137" s="6"/>
      <c r="F137" s="6"/>
      <c r="G137" s="6"/>
      <c r="H137" s="6"/>
    </row>
    <row r="140" spans="1:8" x14ac:dyDescent="0.25">
      <c r="A140" s="149" t="s">
        <v>204</v>
      </c>
      <c r="B140" s="149"/>
    </row>
    <row r="141" spans="1:8" x14ac:dyDescent="0.25">
      <c r="A141" s="149" t="s">
        <v>205</v>
      </c>
      <c r="B141" s="149"/>
    </row>
    <row r="142" spans="1:8" x14ac:dyDescent="0.25">
      <c r="A142" s="149" t="s">
        <v>206</v>
      </c>
      <c r="B142" s="149"/>
    </row>
    <row r="143" spans="1:8" x14ac:dyDescent="0.25">
      <c r="A143" s="149"/>
      <c r="B143" s="149"/>
    </row>
    <row r="144" spans="1:8" ht="39.75" customHeight="1" x14ac:dyDescent="0.25">
      <c r="A144" s="293" t="s">
        <v>207</v>
      </c>
      <c r="B144" s="293"/>
      <c r="C144" s="293"/>
      <c r="D144" s="293"/>
      <c r="E144" s="293"/>
      <c r="F144" s="293"/>
      <c r="G144" s="293"/>
      <c r="H144" s="293"/>
    </row>
    <row r="146" spans="1:8" x14ac:dyDescent="0.25">
      <c r="A146" t="s">
        <v>208</v>
      </c>
    </row>
    <row r="147" spans="1:8" x14ac:dyDescent="0.25">
      <c r="A147" s="149" t="s">
        <v>209</v>
      </c>
    </row>
    <row r="148" spans="1:8" x14ac:dyDescent="0.25">
      <c r="A148" s="149" t="s">
        <v>210</v>
      </c>
    </row>
    <row r="149" spans="1:8" x14ac:dyDescent="0.25">
      <c r="A149" s="149"/>
    </row>
    <row r="150" spans="1:8" ht="36" customHeight="1" x14ac:dyDescent="0.25">
      <c r="A150" s="293" t="s">
        <v>211</v>
      </c>
      <c r="B150" s="293"/>
      <c r="C150" s="293"/>
      <c r="D150" s="293"/>
      <c r="E150" s="293"/>
      <c r="F150" s="293"/>
      <c r="G150" s="293"/>
      <c r="H150" s="293"/>
    </row>
    <row r="151" spans="1:8" x14ac:dyDescent="0.25">
      <c r="A151" s="149"/>
    </row>
    <row r="152" spans="1:8" ht="52.5" customHeight="1" x14ac:dyDescent="0.25">
      <c r="A152" s="293" t="s">
        <v>212</v>
      </c>
      <c r="B152" s="293"/>
      <c r="C152" s="293"/>
      <c r="D152" s="293"/>
      <c r="E152" s="293"/>
      <c r="F152" s="293"/>
      <c r="G152" s="293"/>
      <c r="H152" s="293"/>
    </row>
    <row r="153" spans="1:8" x14ac:dyDescent="0.25">
      <c r="A153" s="149"/>
    </row>
    <row r="154" spans="1:8" x14ac:dyDescent="0.25">
      <c r="A154" s="149"/>
    </row>
    <row r="155" spans="1:8" ht="36" customHeight="1" x14ac:dyDescent="0.25">
      <c r="A155" s="293" t="s">
        <v>207</v>
      </c>
      <c r="B155" s="293"/>
      <c r="C155" s="293"/>
      <c r="D155" s="293"/>
      <c r="E155" s="293"/>
      <c r="F155" s="293"/>
      <c r="G155" s="293"/>
      <c r="H155" s="293"/>
    </row>
    <row r="156" spans="1:8" ht="36.75" customHeight="1" x14ac:dyDescent="0.25">
      <c r="A156" s="293" t="s">
        <v>223</v>
      </c>
      <c r="B156" s="293"/>
      <c r="C156" s="293"/>
      <c r="D156" s="293"/>
      <c r="E156" s="293"/>
      <c r="F156" s="293"/>
      <c r="G156" s="293"/>
      <c r="H156" s="293"/>
    </row>
    <row r="157" spans="1:8" x14ac:dyDescent="0.25">
      <c r="B157" s="150" t="s">
        <v>214</v>
      </c>
      <c r="C157" s="151"/>
      <c r="D157" s="151"/>
      <c r="E157" s="151"/>
      <c r="F157" s="151"/>
    </row>
    <row r="158" spans="1:8" x14ac:dyDescent="0.25">
      <c r="B158" s="150"/>
      <c r="C158" s="151"/>
      <c r="D158" s="151"/>
      <c r="E158" s="151"/>
      <c r="F158" s="151"/>
    </row>
    <row r="159" spans="1:8" x14ac:dyDescent="0.25">
      <c r="B159" s="150" t="s">
        <v>215</v>
      </c>
      <c r="C159" s="151" t="s">
        <v>216</v>
      </c>
      <c r="D159" s="151" t="s">
        <v>217</v>
      </c>
      <c r="E159" s="151" t="s">
        <v>218</v>
      </c>
      <c r="F159" s="151" t="s">
        <v>219</v>
      </c>
    </row>
    <row r="160" spans="1:8" x14ac:dyDescent="0.25">
      <c r="B160" s="150" t="s">
        <v>220</v>
      </c>
      <c r="C160" s="152">
        <v>1.6500000000000001E-2</v>
      </c>
      <c r="D160" s="152">
        <v>7.5999999999999998E-2</v>
      </c>
      <c r="E160" s="153">
        <v>0.05</v>
      </c>
      <c r="F160" s="151">
        <v>0.85750000000000004</v>
      </c>
    </row>
    <row r="161" spans="1:8" x14ac:dyDescent="0.25">
      <c r="B161" s="150" t="s">
        <v>221</v>
      </c>
      <c r="C161" s="152">
        <v>6.4999999999999997E-3</v>
      </c>
      <c r="D161" s="153">
        <v>0.03</v>
      </c>
      <c r="E161" s="153">
        <v>0.05</v>
      </c>
      <c r="F161" s="151">
        <v>0.91349999999999998</v>
      </c>
    </row>
    <row r="162" spans="1:8" x14ac:dyDescent="0.25">
      <c r="B162" s="150" t="s">
        <v>222</v>
      </c>
      <c r="C162" s="152">
        <v>4.4000000000000003E-3</v>
      </c>
      <c r="D162" s="152">
        <v>2.35E-2</v>
      </c>
      <c r="E162" s="153">
        <v>0.05</v>
      </c>
      <c r="F162" s="151">
        <v>0.92210000000000003</v>
      </c>
    </row>
    <row r="164" spans="1:8" ht="30" customHeight="1" x14ac:dyDescent="0.25">
      <c r="A164" s="292" t="s">
        <v>225</v>
      </c>
      <c r="B164" s="292"/>
      <c r="C164" s="292"/>
      <c r="D164" s="292"/>
      <c r="E164" s="292"/>
      <c r="F164" s="292"/>
      <c r="G164" s="292"/>
      <c r="H164" s="292"/>
    </row>
  </sheetData>
  <dataConsolidate/>
  <mergeCells count="57">
    <mergeCell ref="B117:H117"/>
    <mergeCell ref="B126:H126"/>
    <mergeCell ref="B132:H132"/>
    <mergeCell ref="C83:C88"/>
    <mergeCell ref="E83:E88"/>
    <mergeCell ref="B92:H92"/>
    <mergeCell ref="A96:H96"/>
    <mergeCell ref="B100:H100"/>
    <mergeCell ref="B107:H107"/>
    <mergeCell ref="B81:H81"/>
    <mergeCell ref="A59:A61"/>
    <mergeCell ref="D59:D60"/>
    <mergeCell ref="E59:E60"/>
    <mergeCell ref="F59:F60"/>
    <mergeCell ref="G59:G60"/>
    <mergeCell ref="B61:E61"/>
    <mergeCell ref="B62:E62"/>
    <mergeCell ref="B66:E66"/>
    <mergeCell ref="A67:H67"/>
    <mergeCell ref="B72:H72"/>
    <mergeCell ref="B80:H80"/>
    <mergeCell ref="B54:H54"/>
    <mergeCell ref="A56:A58"/>
    <mergeCell ref="D56:D57"/>
    <mergeCell ref="E56:E57"/>
    <mergeCell ref="F56:F57"/>
    <mergeCell ref="G56:G57"/>
    <mergeCell ref="D46:E47"/>
    <mergeCell ref="E18:H18"/>
    <mergeCell ref="B19:H19"/>
    <mergeCell ref="A20:H20"/>
    <mergeCell ref="D21:H21"/>
    <mergeCell ref="D22:H22"/>
    <mergeCell ref="D24:H24"/>
    <mergeCell ref="D25:H25"/>
    <mergeCell ref="B26:H26"/>
    <mergeCell ref="B38:H38"/>
    <mergeCell ref="B39:H39"/>
    <mergeCell ref="B44:H44"/>
    <mergeCell ref="E17:H17"/>
    <mergeCell ref="A3:H3"/>
    <mergeCell ref="E4:H6"/>
    <mergeCell ref="A7:D7"/>
    <mergeCell ref="A8:H8"/>
    <mergeCell ref="D9:H9"/>
    <mergeCell ref="D10:H10"/>
    <mergeCell ref="D11:H11"/>
    <mergeCell ref="D12:H12"/>
    <mergeCell ref="A14:H14"/>
    <mergeCell ref="E15:H15"/>
    <mergeCell ref="E16:H16"/>
    <mergeCell ref="A164:H164"/>
    <mergeCell ref="A144:H144"/>
    <mergeCell ref="A150:H150"/>
    <mergeCell ref="A152:H152"/>
    <mergeCell ref="A155:H155"/>
    <mergeCell ref="A156:H156"/>
  </mergeCells>
  <dataValidations count="4">
    <dataValidation type="list" operator="equal" allowBlank="1" showErrorMessage="1" sqref="D28">
      <formula1>$J$33:$J$34</formula1>
      <formula2>0</formula2>
    </dataValidation>
    <dataValidation type="list" operator="equal" allowBlank="1" showErrorMessage="1" sqref="E28">
      <formula1>$K$33:$K$34</formula1>
      <formula2>0</formula2>
    </dataValidation>
    <dataValidation type="list" operator="equal" allowBlank="1" showErrorMessage="1" sqref="D30">
      <formula1>$J$28:$J$31</formula1>
      <formula2>0</formula2>
    </dataValidation>
    <dataValidation type="list" operator="equal" allowBlank="1" showErrorMessage="1" promptTitle="Percentual" sqref="E30">
      <formula1>$K$28:$K$31</formula1>
      <formula2>0</formula2>
    </dataValidation>
  </dataValidations>
  <pageMargins left="0.7" right="0.7" top="0.75" bottom="0.75" header="0.3" footer="0.3"/>
  <pageSetup scale="45"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5"/>
  <sheetViews>
    <sheetView zoomScale="90" zoomScaleNormal="90" workbookViewId="0">
      <selection activeCell="H67" sqref="H67"/>
    </sheetView>
  </sheetViews>
  <sheetFormatPr defaultRowHeight="15" x14ac:dyDescent="0.25"/>
  <cols>
    <col min="1" max="1" width="4.85546875" bestFit="1" customWidth="1"/>
    <col min="2" max="2" width="54.85546875" customWidth="1"/>
    <col min="3" max="3" width="11.5703125" customWidth="1"/>
    <col min="4" max="4" width="34" customWidth="1"/>
    <col min="5" max="5" width="18" customWidth="1"/>
    <col min="6" max="6" width="25.28515625" bestFit="1" customWidth="1"/>
    <col min="7" max="7" width="11.5703125" bestFit="1" customWidth="1"/>
    <col min="8" max="8" width="27.5703125" bestFit="1" customWidth="1"/>
    <col min="9" max="9" width="20.7109375" customWidth="1"/>
    <col min="10" max="10" width="11" bestFit="1" customWidth="1"/>
  </cols>
  <sheetData>
    <row r="1" spans="1:8" x14ac:dyDescent="0.25">
      <c r="A1" s="1"/>
      <c r="B1" s="1"/>
      <c r="C1" s="1"/>
      <c r="D1" s="1"/>
      <c r="E1" s="1"/>
      <c r="F1" s="1"/>
      <c r="G1" s="1"/>
      <c r="H1" s="2"/>
    </row>
    <row r="2" spans="1:8" ht="15.75" x14ac:dyDescent="0.25">
      <c r="A2" s="3"/>
      <c r="B2" s="3" t="s">
        <v>0</v>
      </c>
      <c r="C2" s="3"/>
      <c r="D2" s="4"/>
      <c r="E2" s="3"/>
      <c r="F2" s="3" t="s">
        <v>2</v>
      </c>
      <c r="G2" s="3"/>
      <c r="H2" s="5"/>
    </row>
    <row r="3" spans="1:8" ht="15.75" x14ac:dyDescent="0.25">
      <c r="A3" s="269" t="s">
        <v>3</v>
      </c>
      <c r="B3" s="269"/>
      <c r="C3" s="269"/>
      <c r="D3" s="269"/>
      <c r="E3" s="269"/>
      <c r="F3" s="269"/>
      <c r="G3" s="269"/>
      <c r="H3" s="269"/>
    </row>
    <row r="4" spans="1:8" ht="15.75" x14ac:dyDescent="0.25">
      <c r="A4" s="6" t="s">
        <v>4</v>
      </c>
      <c r="B4" s="7" t="s">
        <v>5</v>
      </c>
      <c r="C4" s="7"/>
      <c r="D4" s="8"/>
      <c r="E4" s="287" t="s">
        <v>6</v>
      </c>
      <c r="F4" s="287"/>
      <c r="G4" s="287"/>
      <c r="H4" s="287"/>
    </row>
    <row r="5" spans="1:8" ht="15.75" x14ac:dyDescent="0.25">
      <c r="A5" s="6" t="s">
        <v>7</v>
      </c>
      <c r="B5" s="7" t="s">
        <v>8</v>
      </c>
      <c r="C5" s="7"/>
      <c r="D5" s="9"/>
      <c r="E5" s="287"/>
      <c r="F5" s="287"/>
      <c r="G5" s="287"/>
      <c r="H5" s="287"/>
    </row>
    <row r="6" spans="1:8" ht="15.75" x14ac:dyDescent="0.25">
      <c r="A6" s="6" t="s">
        <v>9</v>
      </c>
      <c r="B6" s="7" t="s">
        <v>10</v>
      </c>
      <c r="C6" s="7"/>
      <c r="D6" s="10"/>
      <c r="E6" s="287"/>
      <c r="F6" s="287"/>
      <c r="G6" s="287"/>
      <c r="H6" s="287"/>
    </row>
    <row r="7" spans="1:8" ht="15.75" x14ac:dyDescent="0.25">
      <c r="A7" s="288"/>
      <c r="B7" s="288"/>
      <c r="C7" s="288"/>
      <c r="D7" s="288"/>
      <c r="E7" s="11"/>
      <c r="F7" s="11"/>
      <c r="G7" s="11"/>
      <c r="H7" s="11"/>
    </row>
    <row r="8" spans="1:8" ht="15.75" x14ac:dyDescent="0.25">
      <c r="A8" s="269" t="s">
        <v>12</v>
      </c>
      <c r="B8" s="269"/>
      <c r="C8" s="269"/>
      <c r="D8" s="269"/>
      <c r="E8" s="269"/>
      <c r="F8" s="269"/>
      <c r="G8" s="269"/>
      <c r="H8" s="269"/>
    </row>
    <row r="9" spans="1:8" x14ac:dyDescent="0.25">
      <c r="A9" s="12" t="s">
        <v>4</v>
      </c>
      <c r="B9" s="13" t="s">
        <v>13</v>
      </c>
      <c r="C9" s="13"/>
      <c r="D9" s="294">
        <v>44301</v>
      </c>
      <c r="E9" s="281"/>
      <c r="F9" s="281"/>
      <c r="G9" s="281"/>
      <c r="H9" s="281"/>
    </row>
    <row r="10" spans="1:8" x14ac:dyDescent="0.25">
      <c r="A10" s="12" t="s">
        <v>7</v>
      </c>
      <c r="B10" s="13" t="s">
        <v>15</v>
      </c>
      <c r="C10" s="13"/>
      <c r="D10" s="289" t="s">
        <v>185</v>
      </c>
      <c r="E10" s="289"/>
      <c r="F10" s="289"/>
      <c r="G10" s="289"/>
      <c r="H10" s="289"/>
    </row>
    <row r="11" spans="1:8" x14ac:dyDescent="0.25">
      <c r="A11" s="12" t="s">
        <v>9</v>
      </c>
      <c r="B11" s="13" t="s">
        <v>16</v>
      </c>
      <c r="C11" s="13"/>
      <c r="D11" s="289" t="s">
        <v>263</v>
      </c>
      <c r="E11" s="289"/>
      <c r="F11" s="289"/>
      <c r="G11" s="289"/>
      <c r="H11" s="289"/>
    </row>
    <row r="12" spans="1:8" x14ac:dyDescent="0.25">
      <c r="A12" s="12" t="s">
        <v>17</v>
      </c>
      <c r="B12" s="13" t="s">
        <v>18</v>
      </c>
      <c r="C12" s="13"/>
      <c r="D12" s="289">
        <v>12</v>
      </c>
      <c r="E12" s="289"/>
      <c r="F12" s="289"/>
      <c r="G12" s="289"/>
      <c r="H12" s="289"/>
    </row>
    <row r="13" spans="1:8" x14ac:dyDescent="0.25">
      <c r="A13" s="12"/>
      <c r="B13" s="13"/>
      <c r="C13" s="13"/>
      <c r="D13" s="14"/>
      <c r="E13" s="14"/>
      <c r="F13" s="14"/>
      <c r="G13" s="14"/>
      <c r="H13" s="15"/>
    </row>
    <row r="14" spans="1:8" ht="15.75" x14ac:dyDescent="0.25">
      <c r="A14" s="269" t="s">
        <v>19</v>
      </c>
      <c r="B14" s="269"/>
      <c r="C14" s="269"/>
      <c r="D14" s="269"/>
      <c r="E14" s="269"/>
      <c r="F14" s="269"/>
      <c r="G14" s="269"/>
      <c r="H14" s="269"/>
    </row>
    <row r="15" spans="1:8" ht="15.75" x14ac:dyDescent="0.25">
      <c r="A15" s="12"/>
      <c r="B15" s="16" t="s">
        <v>20</v>
      </c>
      <c r="C15" s="16"/>
      <c r="D15" s="17" t="s">
        <v>21</v>
      </c>
      <c r="E15" s="290" t="s">
        <v>22</v>
      </c>
      <c r="F15" s="290"/>
      <c r="G15" s="290"/>
      <c r="H15" s="290"/>
    </row>
    <row r="16" spans="1:8" x14ac:dyDescent="0.25">
      <c r="A16" s="12" t="s">
        <v>4</v>
      </c>
      <c r="B16" s="18" t="s">
        <v>180</v>
      </c>
      <c r="C16" s="19"/>
      <c r="D16" s="20" t="s">
        <v>23</v>
      </c>
      <c r="E16" s="291">
        <v>1</v>
      </c>
      <c r="F16" s="291"/>
      <c r="G16" s="291"/>
      <c r="H16" s="291"/>
    </row>
    <row r="17" spans="1:8" x14ac:dyDescent="0.25">
      <c r="A17" s="12" t="s">
        <v>7</v>
      </c>
      <c r="B17" s="13"/>
      <c r="C17" s="13"/>
      <c r="D17" s="21"/>
      <c r="E17" s="279"/>
      <c r="F17" s="279"/>
      <c r="G17" s="279"/>
      <c r="H17" s="279"/>
    </row>
    <row r="18" spans="1:8" x14ac:dyDescent="0.25">
      <c r="A18" s="12" t="s">
        <v>9</v>
      </c>
      <c r="B18" s="13"/>
      <c r="C18" s="13"/>
      <c r="D18" s="21"/>
      <c r="E18" s="279"/>
      <c r="F18" s="279"/>
      <c r="G18" s="279"/>
      <c r="H18" s="279"/>
    </row>
    <row r="19" spans="1:8" ht="15.75" x14ac:dyDescent="0.25">
      <c r="A19" s="110"/>
      <c r="B19" s="269" t="s">
        <v>24</v>
      </c>
      <c r="C19" s="269"/>
      <c r="D19" s="269"/>
      <c r="E19" s="269"/>
      <c r="F19" s="269"/>
      <c r="G19" s="269"/>
      <c r="H19" s="269"/>
    </row>
    <row r="20" spans="1:8" ht="15.75" x14ac:dyDescent="0.25">
      <c r="A20" s="280" t="s">
        <v>25</v>
      </c>
      <c r="B20" s="280"/>
      <c r="C20" s="280"/>
      <c r="D20" s="280"/>
      <c r="E20" s="280"/>
      <c r="F20" s="280"/>
      <c r="G20" s="280"/>
      <c r="H20" s="280"/>
    </row>
    <row r="21" spans="1:8" x14ac:dyDescent="0.25">
      <c r="A21" s="12">
        <v>1</v>
      </c>
      <c r="B21" s="13" t="s">
        <v>20</v>
      </c>
      <c r="C21" s="13"/>
      <c r="D21" s="281" t="s">
        <v>262</v>
      </c>
      <c r="E21" s="281"/>
      <c r="F21" s="281"/>
      <c r="G21" s="281"/>
      <c r="H21" s="281"/>
    </row>
    <row r="22" spans="1:8" x14ac:dyDescent="0.25">
      <c r="A22" s="12">
        <v>2</v>
      </c>
      <c r="B22" s="13" t="s">
        <v>26</v>
      </c>
      <c r="C22" s="13"/>
      <c r="D22" s="282" t="s">
        <v>245</v>
      </c>
      <c r="E22" s="282"/>
      <c r="F22" s="282"/>
      <c r="G22" s="282"/>
      <c r="H22" s="282"/>
    </row>
    <row r="23" spans="1:8" x14ac:dyDescent="0.25">
      <c r="A23" s="12">
        <v>3</v>
      </c>
      <c r="B23" s="13" t="s">
        <v>27</v>
      </c>
      <c r="C23" s="13"/>
      <c r="D23" s="22">
        <v>1310.0899999999999</v>
      </c>
      <c r="E23" s="23"/>
      <c r="F23" s="23"/>
      <c r="G23" s="23"/>
      <c r="H23" s="23"/>
    </row>
    <row r="24" spans="1:8" ht="30" x14ac:dyDescent="0.25">
      <c r="A24" s="1">
        <v>4</v>
      </c>
      <c r="B24" s="24" t="s">
        <v>28</v>
      </c>
      <c r="C24" s="24"/>
      <c r="D24" s="283" t="s">
        <v>264</v>
      </c>
      <c r="E24" s="283"/>
      <c r="F24" s="283"/>
      <c r="G24" s="283"/>
      <c r="H24" s="283"/>
    </row>
    <row r="25" spans="1:8" x14ac:dyDescent="0.25">
      <c r="A25" s="1">
        <v>5</v>
      </c>
      <c r="B25" s="25" t="s">
        <v>29</v>
      </c>
      <c r="C25" s="25"/>
      <c r="D25" s="284" t="s">
        <v>265</v>
      </c>
      <c r="E25" s="284"/>
      <c r="F25" s="284"/>
      <c r="G25" s="284"/>
      <c r="H25" s="284"/>
    </row>
    <row r="26" spans="1:8" ht="15.75" x14ac:dyDescent="0.25">
      <c r="A26" s="188">
        <v>1</v>
      </c>
      <c r="B26" s="295" t="s">
        <v>30</v>
      </c>
      <c r="C26" s="295"/>
      <c r="D26" s="295"/>
      <c r="E26" s="295"/>
      <c r="F26" s="295"/>
      <c r="G26" s="295"/>
      <c r="H26" s="295"/>
    </row>
    <row r="27" spans="1:8" ht="15.75" x14ac:dyDescent="0.25">
      <c r="A27" s="174" t="s">
        <v>4</v>
      </c>
      <c r="B27" s="176" t="s">
        <v>31</v>
      </c>
      <c r="C27" s="176"/>
      <c r="D27" s="176"/>
      <c r="E27" s="205"/>
      <c r="F27" s="205"/>
      <c r="G27" s="177"/>
      <c r="H27" s="243">
        <f>D23</f>
        <v>1310.0899999999999</v>
      </c>
    </row>
    <row r="28" spans="1:8" ht="15.75" x14ac:dyDescent="0.25">
      <c r="A28" s="174" t="s">
        <v>7</v>
      </c>
      <c r="B28" s="176" t="s">
        <v>32</v>
      </c>
      <c r="C28" s="176"/>
      <c r="D28" s="244"/>
      <c r="E28" s="245">
        <v>0</v>
      </c>
      <c r="F28" s="205"/>
      <c r="G28" s="205"/>
      <c r="H28" s="246"/>
    </row>
    <row r="29" spans="1:8" ht="15.75" x14ac:dyDescent="0.25">
      <c r="A29" s="174" t="s">
        <v>9</v>
      </c>
      <c r="B29" s="176" t="s">
        <v>34</v>
      </c>
      <c r="C29" s="176"/>
      <c r="D29" s="247" t="s">
        <v>35</v>
      </c>
      <c r="E29" s="248" t="s">
        <v>36</v>
      </c>
      <c r="F29" s="247" t="s">
        <v>37</v>
      </c>
      <c r="G29" s="198"/>
      <c r="H29" s="246"/>
    </row>
    <row r="30" spans="1:8" ht="15.75" x14ac:dyDescent="0.25">
      <c r="A30" s="174" t="s">
        <v>17</v>
      </c>
      <c r="B30" s="176" t="s">
        <v>167</v>
      </c>
      <c r="C30" s="176"/>
      <c r="D30" s="247"/>
      <c r="E30" s="248"/>
      <c r="F30" s="247"/>
      <c r="G30" s="198"/>
      <c r="H30" s="246"/>
    </row>
    <row r="31" spans="1:8" ht="15.75" x14ac:dyDescent="0.25">
      <c r="A31" s="174" t="s">
        <v>40</v>
      </c>
      <c r="B31" s="176" t="s">
        <v>38</v>
      </c>
      <c r="C31" s="176"/>
      <c r="D31" s="244" t="s">
        <v>39</v>
      </c>
      <c r="E31" s="249">
        <v>0</v>
      </c>
      <c r="F31" s="250"/>
      <c r="G31" s="176"/>
      <c r="H31" s="251"/>
    </row>
    <row r="32" spans="1:8" ht="15.75" x14ac:dyDescent="0.25">
      <c r="A32" s="174" t="s">
        <v>42</v>
      </c>
      <c r="B32" s="176" t="s">
        <v>41</v>
      </c>
      <c r="C32" s="176"/>
      <c r="D32" s="205"/>
      <c r="E32" s="205"/>
      <c r="F32" s="205"/>
      <c r="G32" s="198"/>
      <c r="H32" s="251"/>
    </row>
    <row r="33" spans="1:9" ht="15.75" x14ac:dyDescent="0.25">
      <c r="A33" s="174" t="s">
        <v>61</v>
      </c>
      <c r="B33" s="176" t="s">
        <v>159</v>
      </c>
      <c r="C33" s="176"/>
      <c r="D33" s="205"/>
      <c r="E33" s="205"/>
      <c r="F33" s="205"/>
      <c r="G33" s="198"/>
      <c r="H33" s="251"/>
    </row>
    <row r="34" spans="1:9" ht="15.75" x14ac:dyDescent="0.25">
      <c r="A34" s="174" t="s">
        <v>43</v>
      </c>
      <c r="B34" s="176" t="s">
        <v>155</v>
      </c>
      <c r="C34" s="176"/>
      <c r="D34" s="205"/>
      <c r="E34" s="205"/>
      <c r="F34" s="205"/>
      <c r="G34" s="198"/>
      <c r="H34" s="251"/>
    </row>
    <row r="35" spans="1:9" ht="15.75" x14ac:dyDescent="0.25">
      <c r="A35" s="174" t="s">
        <v>161</v>
      </c>
      <c r="B35" s="175" t="s">
        <v>160</v>
      </c>
      <c r="C35" s="175"/>
      <c r="D35" s="205"/>
      <c r="E35" s="205"/>
      <c r="F35" s="205"/>
      <c r="G35" s="198"/>
      <c r="H35" s="251"/>
    </row>
    <row r="36" spans="1:9" ht="15.75" x14ac:dyDescent="0.25">
      <c r="A36" s="174" t="s">
        <v>165</v>
      </c>
      <c r="B36" s="175" t="s">
        <v>162</v>
      </c>
      <c r="C36" s="175"/>
      <c r="D36" s="205"/>
      <c r="E36" s="205"/>
      <c r="F36" s="205"/>
      <c r="G36" s="198"/>
      <c r="H36" s="251"/>
    </row>
    <row r="37" spans="1:9" ht="15.75" x14ac:dyDescent="0.25">
      <c r="A37" s="174" t="s">
        <v>166</v>
      </c>
      <c r="B37" s="176" t="s">
        <v>44</v>
      </c>
      <c r="C37" s="176"/>
      <c r="D37" s="176"/>
      <c r="E37" s="176"/>
      <c r="F37" s="198"/>
      <c r="G37" s="198"/>
      <c r="H37" s="198">
        <v>0</v>
      </c>
    </row>
    <row r="38" spans="1:9" ht="15.75" x14ac:dyDescent="0.25">
      <c r="A38" s="252"/>
      <c r="B38" s="184" t="s">
        <v>45</v>
      </c>
      <c r="C38" s="184"/>
      <c r="D38" s="185"/>
      <c r="E38" s="185"/>
      <c r="F38" s="186"/>
      <c r="G38" s="186"/>
      <c r="H38" s="187">
        <f>SUM(H27:H37)</f>
        <v>1310.0899999999999</v>
      </c>
    </row>
    <row r="39" spans="1:9" ht="15.75" x14ac:dyDescent="0.25">
      <c r="A39" s="172">
        <v>2</v>
      </c>
      <c r="B39" s="300" t="s">
        <v>46</v>
      </c>
      <c r="C39" s="300"/>
      <c r="D39" s="300"/>
      <c r="E39" s="300"/>
      <c r="F39" s="300"/>
      <c r="G39" s="300"/>
      <c r="H39" s="300"/>
    </row>
    <row r="40" spans="1:9" ht="15.75" x14ac:dyDescent="0.25">
      <c r="A40" s="173" t="s">
        <v>47</v>
      </c>
      <c r="B40" s="301" t="s">
        <v>48</v>
      </c>
      <c r="C40" s="301"/>
      <c r="D40" s="301"/>
      <c r="E40" s="301"/>
      <c r="F40" s="301"/>
      <c r="G40" s="301"/>
      <c r="H40" s="301"/>
    </row>
    <row r="41" spans="1:9" ht="15.75" x14ac:dyDescent="0.25">
      <c r="A41" s="174" t="s">
        <v>4</v>
      </c>
      <c r="B41" s="175" t="s">
        <v>49</v>
      </c>
      <c r="C41" s="175"/>
      <c r="D41" s="175"/>
      <c r="E41" s="176"/>
      <c r="F41" s="177"/>
      <c r="G41" s="178">
        <v>8.3299999999999999E-2</v>
      </c>
      <c r="H41" s="177">
        <f>SUM($H$38*G41)</f>
        <v>109.13049699999999</v>
      </c>
    </row>
    <row r="42" spans="1:9" ht="15.75" x14ac:dyDescent="0.25">
      <c r="A42" s="174" t="s">
        <v>7</v>
      </c>
      <c r="B42" s="176" t="s">
        <v>50</v>
      </c>
      <c r="C42" s="176"/>
      <c r="D42" s="176"/>
      <c r="E42" s="176"/>
      <c r="F42" s="179"/>
      <c r="G42" s="180">
        <v>0.121</v>
      </c>
      <c r="H42" s="177">
        <f>SUM($H$38*G42)</f>
        <v>158.52088999999998</v>
      </c>
    </row>
    <row r="43" spans="1:9" ht="15.75" x14ac:dyDescent="0.25">
      <c r="A43" s="1" t="s">
        <v>9</v>
      </c>
      <c r="B43" s="48" t="s">
        <v>51</v>
      </c>
      <c r="C43" s="181"/>
      <c r="D43" s="176"/>
      <c r="E43" s="176"/>
      <c r="F43" s="179"/>
      <c r="G43" s="180">
        <f>SUM(G41:G42)*G54</f>
        <v>7.518240000000001E-2</v>
      </c>
      <c r="H43" s="177">
        <f>SUM($H$38*G43)</f>
        <v>98.495710416000009</v>
      </c>
    </row>
    <row r="44" spans="1:9" ht="15.75" x14ac:dyDescent="0.25">
      <c r="A44" s="182"/>
      <c r="B44" s="183" t="s">
        <v>45</v>
      </c>
      <c r="C44" s="184"/>
      <c r="D44" s="185"/>
      <c r="E44" s="185"/>
      <c r="F44" s="186"/>
      <c r="G44" s="186"/>
      <c r="H44" s="187">
        <f>SUM(H41:H43)</f>
        <v>366.14709741600001</v>
      </c>
    </row>
    <row r="45" spans="1:9" ht="15.75" x14ac:dyDescent="0.25">
      <c r="A45" s="188" t="s">
        <v>52</v>
      </c>
      <c r="B45" s="295" t="s">
        <v>53</v>
      </c>
      <c r="C45" s="295"/>
      <c r="D45" s="295"/>
      <c r="E45" s="295"/>
      <c r="F45" s="295"/>
      <c r="G45" s="295"/>
      <c r="H45" s="295"/>
    </row>
    <row r="46" spans="1:9" ht="15.75" x14ac:dyDescent="0.25">
      <c r="A46" s="174" t="s">
        <v>4</v>
      </c>
      <c r="B46" s="181" t="s">
        <v>54</v>
      </c>
      <c r="C46" s="181"/>
      <c r="D46" s="176"/>
      <c r="E46" s="176"/>
      <c r="F46" s="177"/>
      <c r="G46" s="178">
        <v>0.2</v>
      </c>
      <c r="H46" s="177">
        <f>SUM($H$38*G46)</f>
        <v>262.01799999999997</v>
      </c>
    </row>
    <row r="47" spans="1:9" ht="15.75" x14ac:dyDescent="0.25">
      <c r="A47" s="174" t="s">
        <v>7</v>
      </c>
      <c r="B47" s="181" t="s">
        <v>55</v>
      </c>
      <c r="C47" s="181"/>
      <c r="D47" s="299" t="s">
        <v>56</v>
      </c>
      <c r="E47" s="299"/>
      <c r="F47" s="177"/>
      <c r="G47" s="162">
        <v>1.4999999999999999E-2</v>
      </c>
      <c r="H47" s="177">
        <f t="shared" ref="H47:H53" si="0">SUM($H$38*G47)</f>
        <v>19.651349999999997</v>
      </c>
      <c r="I47" s="115"/>
    </row>
    <row r="48" spans="1:9" ht="15.75" x14ac:dyDescent="0.25">
      <c r="A48" s="174" t="s">
        <v>9</v>
      </c>
      <c r="B48" s="181" t="s">
        <v>57</v>
      </c>
      <c r="C48" s="181"/>
      <c r="D48" s="299"/>
      <c r="E48" s="299"/>
      <c r="F48" s="177"/>
      <c r="G48" s="162">
        <v>0.01</v>
      </c>
      <c r="H48" s="177">
        <f t="shared" si="0"/>
        <v>13.100899999999999</v>
      </c>
    </row>
    <row r="49" spans="1:13" ht="15.75" x14ac:dyDescent="0.25">
      <c r="A49" s="174" t="s">
        <v>17</v>
      </c>
      <c r="B49" s="181" t="s">
        <v>58</v>
      </c>
      <c r="C49" s="181"/>
      <c r="D49" s="176"/>
      <c r="E49" s="176"/>
      <c r="F49" s="177"/>
      <c r="G49" s="162">
        <v>2E-3</v>
      </c>
      <c r="H49" s="177">
        <f t="shared" si="0"/>
        <v>2.62018</v>
      </c>
    </row>
    <row r="50" spans="1:13" ht="15.75" x14ac:dyDescent="0.25">
      <c r="A50" s="174" t="s">
        <v>40</v>
      </c>
      <c r="B50" s="181" t="s">
        <v>59</v>
      </c>
      <c r="C50" s="181"/>
      <c r="D50" s="176"/>
      <c r="E50" s="176"/>
      <c r="F50" s="177"/>
      <c r="G50" s="162">
        <v>2.5000000000000001E-2</v>
      </c>
      <c r="H50" s="177">
        <f>SUM($H$38*G50)</f>
        <v>32.752249999999997</v>
      </c>
    </row>
    <row r="51" spans="1:13" ht="15.75" x14ac:dyDescent="0.25">
      <c r="A51" s="174" t="s">
        <v>42</v>
      </c>
      <c r="B51" s="181" t="s">
        <v>60</v>
      </c>
      <c r="C51" s="181"/>
      <c r="D51" s="176"/>
      <c r="E51" s="176"/>
      <c r="F51" s="177"/>
      <c r="G51" s="178">
        <v>0.08</v>
      </c>
      <c r="H51" s="177">
        <f t="shared" si="0"/>
        <v>104.80719999999999</v>
      </c>
    </row>
    <row r="52" spans="1:13" ht="15.75" x14ac:dyDescent="0.25">
      <c r="A52" s="189" t="s">
        <v>61</v>
      </c>
      <c r="B52" s="190" t="s">
        <v>62</v>
      </c>
      <c r="C52" s="190"/>
      <c r="D52" s="191"/>
      <c r="E52" s="191"/>
      <c r="F52" s="191"/>
      <c r="G52" s="163">
        <v>0.03</v>
      </c>
      <c r="H52" s="192">
        <f t="shared" si="0"/>
        <v>39.302699999999994</v>
      </c>
    </row>
    <row r="53" spans="1:13" ht="15.75" x14ac:dyDescent="0.25">
      <c r="A53" s="174" t="s">
        <v>43</v>
      </c>
      <c r="B53" s="181" t="s">
        <v>63</v>
      </c>
      <c r="C53" s="181"/>
      <c r="D53" s="176"/>
      <c r="E53" s="176"/>
      <c r="F53" s="177"/>
      <c r="G53" s="162">
        <v>6.0000000000000001E-3</v>
      </c>
      <c r="H53" s="177">
        <f t="shared" si="0"/>
        <v>7.8605399999999994</v>
      </c>
      <c r="I53" s="121"/>
    </row>
    <row r="54" spans="1:13" ht="15.75" x14ac:dyDescent="0.25">
      <c r="A54" s="183"/>
      <c r="B54" s="184" t="s">
        <v>45</v>
      </c>
      <c r="C54" s="184"/>
      <c r="D54" s="184"/>
      <c r="E54" s="184"/>
      <c r="F54" s="193"/>
      <c r="G54" s="194">
        <f>SUM(G46:G53)</f>
        <v>0.3680000000000001</v>
      </c>
      <c r="H54" s="195">
        <f>SUM(H46:H53)</f>
        <v>482.11312000000004</v>
      </c>
    </row>
    <row r="55" spans="1:13" ht="15.75" x14ac:dyDescent="0.25">
      <c r="A55" s="188" t="s">
        <v>64</v>
      </c>
      <c r="B55" s="295" t="s">
        <v>65</v>
      </c>
      <c r="C55" s="295"/>
      <c r="D55" s="295"/>
      <c r="E55" s="295"/>
      <c r="F55" s="295"/>
      <c r="G55" s="295"/>
      <c r="H55" s="295"/>
    </row>
    <row r="56" spans="1:13" ht="15.75" x14ac:dyDescent="0.25">
      <c r="A56" s="176" t="s">
        <v>66</v>
      </c>
      <c r="B56" s="196"/>
      <c r="C56" s="196"/>
      <c r="D56" s="197" t="s">
        <v>67</v>
      </c>
      <c r="E56" s="197" t="s">
        <v>68</v>
      </c>
      <c r="F56" s="197" t="s">
        <v>69</v>
      </c>
      <c r="G56" s="197" t="s">
        <v>70</v>
      </c>
      <c r="H56" s="176"/>
    </row>
    <row r="57" spans="1:13" ht="15.75" x14ac:dyDescent="0.25">
      <c r="A57" s="302" t="s">
        <v>4</v>
      </c>
      <c r="B57" s="176" t="s">
        <v>71</v>
      </c>
      <c r="C57" s="176"/>
      <c r="D57" s="296"/>
      <c r="E57" s="297"/>
      <c r="F57" s="298"/>
      <c r="G57" s="303"/>
      <c r="H57" s="198">
        <f>F57*E57*D57</f>
        <v>0</v>
      </c>
      <c r="I57" t="s">
        <v>257</v>
      </c>
    </row>
    <row r="58" spans="1:13" ht="15.75" x14ac:dyDescent="0.25">
      <c r="A58" s="302"/>
      <c r="B58" s="176" t="s">
        <v>72</v>
      </c>
      <c r="C58" s="176"/>
      <c r="D58" s="296"/>
      <c r="E58" s="296"/>
      <c r="F58" s="296"/>
      <c r="G58" s="296"/>
      <c r="H58" s="198">
        <f>H27*G57</f>
        <v>0</v>
      </c>
    </row>
    <row r="59" spans="1:13" ht="15.75" x14ac:dyDescent="0.25">
      <c r="A59" s="302"/>
      <c r="B59" s="175" t="s">
        <v>73</v>
      </c>
      <c r="C59" s="175"/>
      <c r="D59" s="175"/>
      <c r="E59" s="176"/>
      <c r="F59" s="176"/>
      <c r="G59" s="199"/>
      <c r="H59" s="198">
        <f>H57-H58</f>
        <v>0</v>
      </c>
    </row>
    <row r="60" spans="1:13" ht="15.75" x14ac:dyDescent="0.25">
      <c r="A60" s="302" t="s">
        <v>7</v>
      </c>
      <c r="B60" s="176" t="s">
        <v>74</v>
      </c>
      <c r="C60" s="176"/>
      <c r="D60" s="296">
        <v>1</v>
      </c>
      <c r="E60" s="297">
        <v>1</v>
      </c>
      <c r="F60" s="298">
        <v>0</v>
      </c>
      <c r="G60" s="303">
        <v>0.2</v>
      </c>
      <c r="H60" s="198">
        <f>F60*E60*D60</f>
        <v>0</v>
      </c>
    </row>
    <row r="61" spans="1:13" ht="15.75" x14ac:dyDescent="0.25">
      <c r="A61" s="302"/>
      <c r="B61" s="176" t="s">
        <v>72</v>
      </c>
      <c r="C61" s="176"/>
      <c r="D61" s="296"/>
      <c r="E61" s="296"/>
      <c r="F61" s="296"/>
      <c r="G61" s="296"/>
      <c r="H61" s="198">
        <f>H60*G60</f>
        <v>0</v>
      </c>
    </row>
    <row r="62" spans="1:13" ht="15.75" x14ac:dyDescent="0.25">
      <c r="A62" s="302"/>
      <c r="B62" s="304" t="s">
        <v>75</v>
      </c>
      <c r="C62" s="304"/>
      <c r="D62" s="304"/>
      <c r="E62" s="304"/>
      <c r="F62" s="200"/>
      <c r="G62" s="200"/>
      <c r="H62" s="198">
        <f>H60-H61</f>
        <v>0</v>
      </c>
    </row>
    <row r="63" spans="1:13" ht="15.75" x14ac:dyDescent="0.25">
      <c r="A63" s="201" t="s">
        <v>9</v>
      </c>
      <c r="B63" s="304" t="s">
        <v>267</v>
      </c>
      <c r="C63" s="304"/>
      <c r="D63" s="304"/>
      <c r="E63" s="304"/>
      <c r="F63" s="200"/>
      <c r="G63" s="200"/>
      <c r="H63" s="198">
        <v>100</v>
      </c>
    </row>
    <row r="64" spans="1:13" ht="15.75" x14ac:dyDescent="0.25">
      <c r="A64" s="201" t="s">
        <v>17</v>
      </c>
      <c r="B64" s="202" t="s">
        <v>251</v>
      </c>
      <c r="C64" s="202"/>
      <c r="D64" s="202"/>
      <c r="E64" s="202" t="s">
        <v>163</v>
      </c>
      <c r="F64" s="200"/>
      <c r="G64" s="200"/>
      <c r="H64" s="198">
        <v>11</v>
      </c>
      <c r="J64" s="125"/>
      <c r="K64" s="13"/>
      <c r="L64" s="13"/>
      <c r="M64" s="35">
        <v>0</v>
      </c>
    </row>
    <row r="65" spans="1:13" ht="15.75" x14ac:dyDescent="0.25">
      <c r="A65" s="201" t="s">
        <v>40</v>
      </c>
      <c r="B65" s="203" t="s">
        <v>224</v>
      </c>
      <c r="C65" s="202"/>
      <c r="D65" s="202"/>
      <c r="E65" s="202"/>
      <c r="F65" s="200"/>
      <c r="G65" s="200"/>
      <c r="H65" s="198">
        <v>4.0599999999999996</v>
      </c>
      <c r="J65" s="148"/>
      <c r="K65" s="13"/>
      <c r="L65" s="13"/>
      <c r="M65" s="35"/>
    </row>
    <row r="66" spans="1:13" ht="15.75" x14ac:dyDescent="0.25">
      <c r="A66" s="201" t="s">
        <v>40</v>
      </c>
      <c r="B66" s="203" t="s">
        <v>266</v>
      </c>
      <c r="C66" s="203"/>
      <c r="D66" s="203"/>
      <c r="E66" s="204">
        <v>0</v>
      </c>
      <c r="F66" s="205"/>
      <c r="G66" s="205"/>
      <c r="H66" s="198">
        <v>0</v>
      </c>
    </row>
    <row r="67" spans="1:13" ht="15.75" x14ac:dyDescent="0.25">
      <c r="A67" s="206"/>
      <c r="B67" s="305" t="s">
        <v>45</v>
      </c>
      <c r="C67" s="305"/>
      <c r="D67" s="305"/>
      <c r="E67" s="305"/>
      <c r="F67" s="207"/>
      <c r="G67" s="207"/>
      <c r="H67" s="208">
        <f>H59+H62+H63+H64+H65+H66</f>
        <v>115.06</v>
      </c>
    </row>
    <row r="68" spans="1:13" ht="15.75" x14ac:dyDescent="0.25">
      <c r="A68" s="295" t="s">
        <v>79</v>
      </c>
      <c r="B68" s="295"/>
      <c r="C68" s="295"/>
      <c r="D68" s="295"/>
      <c r="E68" s="295"/>
      <c r="F68" s="295"/>
      <c r="G68" s="295"/>
      <c r="H68" s="295"/>
    </row>
    <row r="69" spans="1:13" ht="15.75" x14ac:dyDescent="0.25">
      <c r="A69" s="201" t="s">
        <v>47</v>
      </c>
      <c r="B69" s="175" t="s">
        <v>80</v>
      </c>
      <c r="C69" s="175"/>
      <c r="D69" s="209"/>
      <c r="E69" s="209"/>
      <c r="F69" s="200"/>
      <c r="G69" s="200"/>
      <c r="H69" s="210">
        <f>H44</f>
        <v>366.14709741600001</v>
      </c>
    </row>
    <row r="70" spans="1:13" ht="15.75" x14ac:dyDescent="0.25">
      <c r="A70" s="201" t="s">
        <v>52</v>
      </c>
      <c r="B70" s="175" t="s">
        <v>81</v>
      </c>
      <c r="C70" s="175"/>
      <c r="D70" s="209"/>
      <c r="E70" s="209"/>
      <c r="F70" s="200"/>
      <c r="G70" s="200"/>
      <c r="H70" s="210">
        <f>H54</f>
        <v>482.11312000000004</v>
      </c>
    </row>
    <row r="71" spans="1:13" ht="15.75" x14ac:dyDescent="0.25">
      <c r="A71" s="201" t="s">
        <v>64</v>
      </c>
      <c r="B71" s="175" t="s">
        <v>82</v>
      </c>
      <c r="C71" s="175"/>
      <c r="D71" s="209"/>
      <c r="E71" s="209"/>
      <c r="F71" s="200"/>
      <c r="G71" s="200"/>
      <c r="H71" s="210">
        <f>H67</f>
        <v>115.06</v>
      </c>
    </row>
    <row r="72" spans="1:13" ht="15.75" x14ac:dyDescent="0.25">
      <c r="A72" s="206"/>
      <c r="B72" s="211" t="s">
        <v>45</v>
      </c>
      <c r="C72" s="211"/>
      <c r="D72" s="211"/>
      <c r="E72" s="211"/>
      <c r="F72" s="207"/>
      <c r="G72" s="207"/>
      <c r="H72" s="208">
        <f>SUM(H69:H71)</f>
        <v>963.32021741600011</v>
      </c>
    </row>
    <row r="73" spans="1:13" ht="15.75" x14ac:dyDescent="0.25">
      <c r="A73" s="212">
        <v>3</v>
      </c>
      <c r="B73" s="295" t="s">
        <v>83</v>
      </c>
      <c r="C73" s="295"/>
      <c r="D73" s="295"/>
      <c r="E73" s="295"/>
      <c r="F73" s="295"/>
      <c r="G73" s="295"/>
      <c r="H73" s="295"/>
    </row>
    <row r="74" spans="1:13" ht="15.75" x14ac:dyDescent="0.25">
      <c r="A74" s="174" t="s">
        <v>4</v>
      </c>
      <c r="B74" s="181" t="s">
        <v>84</v>
      </c>
      <c r="C74" s="181"/>
      <c r="D74" s="213"/>
      <c r="E74" s="213"/>
      <c r="F74" s="213"/>
      <c r="G74" s="178">
        <f>1/12*5%</f>
        <v>4.1666666666666666E-3</v>
      </c>
      <c r="H74" s="177">
        <f>SUM($H$38*G74)</f>
        <v>5.4587083333333331</v>
      </c>
      <c r="I74" s="115"/>
    </row>
    <row r="75" spans="1:13" ht="15.75" x14ac:dyDescent="0.25">
      <c r="A75" s="174" t="s">
        <v>7</v>
      </c>
      <c r="B75" s="181" t="s">
        <v>85</v>
      </c>
      <c r="C75" s="181"/>
      <c r="D75" s="176"/>
      <c r="E75" s="176"/>
      <c r="F75" s="177"/>
      <c r="G75" s="178">
        <f>G74*0.08</f>
        <v>3.3333333333333332E-4</v>
      </c>
      <c r="H75" s="177">
        <f>SUM($H$38*G75)</f>
        <v>0.43669666666666662</v>
      </c>
    </row>
    <row r="76" spans="1:13" ht="15.75" x14ac:dyDescent="0.25">
      <c r="A76" s="174" t="s">
        <v>9</v>
      </c>
      <c r="B76" s="181" t="s">
        <v>86</v>
      </c>
      <c r="C76" s="181"/>
      <c r="D76" s="214"/>
      <c r="E76" s="214"/>
      <c r="F76" s="214"/>
      <c r="G76" s="164">
        <f>(0.08*0.4*0.9)*(1+0.0833+0.121)</f>
        <v>3.4683840000000001E-2</v>
      </c>
      <c r="H76" s="215">
        <f>(ROUND(SUM($H$38*G76),2))</f>
        <v>45.44</v>
      </c>
    </row>
    <row r="77" spans="1:13" ht="15.75" x14ac:dyDescent="0.25">
      <c r="A77" s="174" t="s">
        <v>17</v>
      </c>
      <c r="B77" s="176" t="s">
        <v>87</v>
      </c>
      <c r="C77" s="176"/>
      <c r="D77" s="213"/>
      <c r="E77" s="213"/>
      <c r="F77" s="213"/>
      <c r="G77" s="178">
        <v>1.9400000000000001E-2</v>
      </c>
      <c r="H77" s="177">
        <f>SUM($H$38*G77)</f>
        <v>25.415745999999999</v>
      </c>
      <c r="I77" s="115"/>
    </row>
    <row r="78" spans="1:13" ht="15.75" x14ac:dyDescent="0.25">
      <c r="A78" s="174" t="s">
        <v>40</v>
      </c>
      <c r="B78" s="181" t="s">
        <v>226</v>
      </c>
      <c r="C78" s="181"/>
      <c r="D78" s="176"/>
      <c r="E78" s="176"/>
      <c r="F78" s="177"/>
      <c r="G78" s="178">
        <f>G77*G54</f>
        <v>7.1392000000000027E-3</v>
      </c>
      <c r="H78" s="177">
        <f>SUM($H$38*G78)</f>
        <v>9.3529945280000035</v>
      </c>
    </row>
    <row r="79" spans="1:13" ht="15.75" x14ac:dyDescent="0.25">
      <c r="A79" s="174" t="s">
        <v>42</v>
      </c>
      <c r="B79" s="176" t="s">
        <v>89</v>
      </c>
      <c r="C79" s="176"/>
      <c r="D79" s="214"/>
      <c r="E79" s="214"/>
      <c r="F79" s="214"/>
      <c r="G79" s="162">
        <f>4%-G76</f>
        <v>5.3161600000000003E-3</v>
      </c>
      <c r="H79" s="177">
        <f>SUM($H$38*G79)</f>
        <v>6.9646480543999996</v>
      </c>
    </row>
    <row r="80" spans="1:13" ht="15.75" x14ac:dyDescent="0.25">
      <c r="A80" s="216"/>
      <c r="B80" s="184" t="s">
        <v>45</v>
      </c>
      <c r="C80" s="184"/>
      <c r="D80" s="185"/>
      <c r="E80" s="185"/>
      <c r="F80" s="217"/>
      <c r="G80" s="194">
        <f>SUM(G74:G79)</f>
        <v>7.1039199999999997E-2</v>
      </c>
      <c r="H80" s="195">
        <f>SUM(H74:H79)</f>
        <v>93.068793582400005</v>
      </c>
    </row>
    <row r="81" spans="1:9" ht="15.75" x14ac:dyDescent="0.25">
      <c r="A81" s="172">
        <v>4</v>
      </c>
      <c r="B81" s="306" t="s">
        <v>90</v>
      </c>
      <c r="C81" s="306"/>
      <c r="D81" s="306"/>
      <c r="E81" s="306"/>
      <c r="F81" s="306"/>
      <c r="G81" s="306"/>
      <c r="H81" s="306"/>
    </row>
    <row r="82" spans="1:9" ht="15.75" x14ac:dyDescent="0.25">
      <c r="A82" s="218" t="s">
        <v>91</v>
      </c>
      <c r="B82" s="295" t="s">
        <v>237</v>
      </c>
      <c r="C82" s="295"/>
      <c r="D82" s="295"/>
      <c r="E82" s="295"/>
      <c r="F82" s="295"/>
      <c r="G82" s="295"/>
      <c r="H82" s="295"/>
    </row>
    <row r="83" spans="1:9" ht="15.75" x14ac:dyDescent="0.25">
      <c r="A83" s="174" t="s">
        <v>4</v>
      </c>
      <c r="B83" s="181" t="s">
        <v>227</v>
      </c>
      <c r="C83" s="181"/>
      <c r="D83" s="213"/>
      <c r="E83" s="213"/>
      <c r="F83" s="213"/>
      <c r="G83" s="178"/>
      <c r="H83" s="177"/>
    </row>
    <row r="84" spans="1:9" ht="15.75" x14ac:dyDescent="0.25">
      <c r="A84" s="219" t="s">
        <v>7</v>
      </c>
      <c r="B84" s="181" t="s">
        <v>228</v>
      </c>
      <c r="C84" s="307" t="s">
        <v>95</v>
      </c>
      <c r="D84" s="167">
        <v>5.96</v>
      </c>
      <c r="E84" s="307" t="s">
        <v>96</v>
      </c>
      <c r="F84" s="169">
        <v>1</v>
      </c>
      <c r="G84" s="178">
        <f t="shared" ref="G84:G89" si="1">D84/360*F84</f>
        <v>1.6555555555555556E-2</v>
      </c>
      <c r="H84" s="177">
        <f t="shared" ref="H84:H88" si="2">SUM(H$38*G84)</f>
        <v>21.689267777777776</v>
      </c>
    </row>
    <row r="85" spans="1:9" ht="15.75" x14ac:dyDescent="0.25">
      <c r="A85" s="174" t="s">
        <v>9</v>
      </c>
      <c r="B85" s="181" t="s">
        <v>229</v>
      </c>
      <c r="C85" s="307"/>
      <c r="D85" s="167">
        <v>5</v>
      </c>
      <c r="E85" s="307"/>
      <c r="F85" s="169">
        <v>1.4999999999999999E-2</v>
      </c>
      <c r="G85" s="178">
        <f t="shared" si="1"/>
        <v>2.0833333333333332E-4</v>
      </c>
      <c r="H85" s="177">
        <f t="shared" si="2"/>
        <v>0.27293541666666665</v>
      </c>
    </row>
    <row r="86" spans="1:9" ht="15.75" x14ac:dyDescent="0.25">
      <c r="A86" s="174" t="s">
        <v>17</v>
      </c>
      <c r="B86" s="181" t="s">
        <v>230</v>
      </c>
      <c r="C86" s="307"/>
      <c r="D86" s="167">
        <v>15</v>
      </c>
      <c r="E86" s="307"/>
      <c r="F86" s="170">
        <v>6.7999999999999996E-3</v>
      </c>
      <c r="G86" s="178">
        <f t="shared" si="1"/>
        <v>2.833333333333333E-4</v>
      </c>
      <c r="H86" s="177">
        <f t="shared" si="2"/>
        <v>0.3711921666666666</v>
      </c>
    </row>
    <row r="87" spans="1:9" ht="15.75" x14ac:dyDescent="0.25">
      <c r="A87" s="174" t="s">
        <v>40</v>
      </c>
      <c r="B87" s="181" t="s">
        <v>231</v>
      </c>
      <c r="C87" s="307"/>
      <c r="D87" s="167">
        <v>120</v>
      </c>
      <c r="E87" s="307"/>
      <c r="F87" s="169">
        <v>1.8599999999999998E-2</v>
      </c>
      <c r="G87" s="178">
        <v>5.9999999999999995E-4</v>
      </c>
      <c r="H87" s="177">
        <f t="shared" si="2"/>
        <v>0.78605399999999992</v>
      </c>
    </row>
    <row r="88" spans="1:9" ht="15.75" x14ac:dyDescent="0.25">
      <c r="A88" s="174" t="s">
        <v>42</v>
      </c>
      <c r="B88" s="181" t="s">
        <v>101</v>
      </c>
      <c r="C88" s="307"/>
      <c r="D88" s="168"/>
      <c r="E88" s="307"/>
      <c r="F88" s="171"/>
      <c r="G88" s="178">
        <f t="shared" si="1"/>
        <v>0</v>
      </c>
      <c r="H88" s="220">
        <f t="shared" si="2"/>
        <v>0</v>
      </c>
    </row>
    <row r="89" spans="1:9" ht="15.75" x14ac:dyDescent="0.25">
      <c r="A89" s="174" t="s">
        <v>61</v>
      </c>
      <c r="B89" s="181"/>
      <c r="C89" s="307"/>
      <c r="D89" s="168"/>
      <c r="E89" s="307"/>
      <c r="F89" s="221"/>
      <c r="G89" s="178">
        <f t="shared" si="1"/>
        <v>0</v>
      </c>
      <c r="H89" s="220"/>
    </row>
    <row r="90" spans="1:9" ht="15.75" x14ac:dyDescent="0.25">
      <c r="A90" s="200"/>
      <c r="B90" s="176" t="s">
        <v>102</v>
      </c>
      <c r="C90" s="176"/>
      <c r="D90" s="176"/>
      <c r="E90" s="176"/>
      <c r="F90" s="177"/>
      <c r="G90" s="178">
        <f>SUM(G83:G89)</f>
        <v>1.7647222222222224E-2</v>
      </c>
      <c r="H90" s="177">
        <f>SUM(H83:H89)</f>
        <v>23.119449361111108</v>
      </c>
      <c r="I90" s="115"/>
    </row>
    <row r="91" spans="1:9" ht="15.75" x14ac:dyDescent="0.25">
      <c r="A91" s="174" t="s">
        <v>42</v>
      </c>
      <c r="B91" s="181" t="s">
        <v>103</v>
      </c>
      <c r="C91" s="181"/>
      <c r="D91" s="176"/>
      <c r="E91" s="176"/>
      <c r="F91" s="177"/>
      <c r="G91" s="178">
        <v>0</v>
      </c>
      <c r="H91" s="177">
        <v>0</v>
      </c>
    </row>
    <row r="92" spans="1:9" ht="15.75" x14ac:dyDescent="0.25">
      <c r="A92" s="216"/>
      <c r="B92" s="184" t="s">
        <v>45</v>
      </c>
      <c r="C92" s="184"/>
      <c r="D92" s="185"/>
      <c r="E92" s="185"/>
      <c r="F92" s="217"/>
      <c r="G92" s="194">
        <f>G91+G90</f>
        <v>1.7647222222222224E-2</v>
      </c>
      <c r="H92" s="195">
        <f>SUM(H90:H91)</f>
        <v>23.119449361111108</v>
      </c>
    </row>
    <row r="93" spans="1:9" ht="15.75" x14ac:dyDescent="0.25">
      <c r="A93" s="218" t="s">
        <v>104</v>
      </c>
      <c r="B93" s="295" t="s">
        <v>233</v>
      </c>
      <c r="C93" s="295"/>
      <c r="D93" s="295"/>
      <c r="E93" s="295"/>
      <c r="F93" s="295"/>
      <c r="G93" s="295"/>
      <c r="H93" s="295"/>
    </row>
    <row r="94" spans="1:9" ht="15.75" x14ac:dyDescent="0.25">
      <c r="A94" s="174" t="s">
        <v>4</v>
      </c>
      <c r="B94" s="181" t="s">
        <v>235</v>
      </c>
      <c r="C94" s="181"/>
      <c r="D94" s="213"/>
      <c r="E94" s="213"/>
      <c r="F94" s="213"/>
      <c r="G94" s="162">
        <v>0</v>
      </c>
      <c r="H94" s="177">
        <f>SUM(H$38*G94)</f>
        <v>0</v>
      </c>
    </row>
    <row r="95" spans="1:9" ht="15.75" x14ac:dyDescent="0.25">
      <c r="A95" s="174" t="s">
        <v>7</v>
      </c>
      <c r="B95" s="181" t="s">
        <v>107</v>
      </c>
      <c r="C95" s="181"/>
      <c r="D95" s="213"/>
      <c r="E95" s="213"/>
      <c r="F95" s="213"/>
      <c r="G95" s="178">
        <f>G94*G54</f>
        <v>0</v>
      </c>
      <c r="H95" s="177">
        <f>SUM($H$38*G95)</f>
        <v>0</v>
      </c>
    </row>
    <row r="96" spans="1:9" ht="15.75" x14ac:dyDescent="0.25">
      <c r="A96" s="216"/>
      <c r="B96" s="184" t="s">
        <v>45</v>
      </c>
      <c r="C96" s="184"/>
      <c r="D96" s="185"/>
      <c r="E96" s="185"/>
      <c r="F96" s="217"/>
      <c r="G96" s="194">
        <f>G95+G94</f>
        <v>0</v>
      </c>
      <c r="H96" s="195">
        <f>SUM(H94:H95)</f>
        <v>0</v>
      </c>
    </row>
    <row r="97" spans="1:10" ht="15.75" x14ac:dyDescent="0.25">
      <c r="A97" s="295" t="s">
        <v>108</v>
      </c>
      <c r="B97" s="295"/>
      <c r="C97" s="295"/>
      <c r="D97" s="295"/>
      <c r="E97" s="295"/>
      <c r="F97" s="295"/>
      <c r="G97" s="295"/>
      <c r="H97" s="295"/>
    </row>
    <row r="98" spans="1:10" ht="15.75" x14ac:dyDescent="0.25">
      <c r="A98" s="174" t="s">
        <v>91</v>
      </c>
      <c r="B98" s="181" t="s">
        <v>236</v>
      </c>
      <c r="C98" s="181"/>
      <c r="D98" s="213"/>
      <c r="E98" s="213"/>
      <c r="F98" s="213"/>
      <c r="G98" s="178">
        <f>G92</f>
        <v>1.7647222222222224E-2</v>
      </c>
      <c r="H98" s="177">
        <f>H92</f>
        <v>23.119449361111108</v>
      </c>
    </row>
    <row r="99" spans="1:10" ht="15.75" x14ac:dyDescent="0.25">
      <c r="A99" s="174" t="s">
        <v>104</v>
      </c>
      <c r="B99" s="181" t="s">
        <v>234</v>
      </c>
      <c r="C99" s="181"/>
      <c r="D99" s="213"/>
      <c r="E99" s="213"/>
      <c r="F99" s="213"/>
      <c r="G99" s="178">
        <f>G96</f>
        <v>0</v>
      </c>
      <c r="H99" s="177">
        <f>H96</f>
        <v>0</v>
      </c>
    </row>
    <row r="100" spans="1:10" ht="15.75" x14ac:dyDescent="0.25">
      <c r="A100" s="216"/>
      <c r="B100" s="184" t="s">
        <v>45</v>
      </c>
      <c r="C100" s="184"/>
      <c r="D100" s="185"/>
      <c r="E100" s="185"/>
      <c r="F100" s="217"/>
      <c r="G100" s="194">
        <f>G96+G92</f>
        <v>1.7647222222222224E-2</v>
      </c>
      <c r="H100" s="195">
        <f>SUM(H98:H99)</f>
        <v>23.119449361111108</v>
      </c>
    </row>
    <row r="101" spans="1:10" ht="15.75" x14ac:dyDescent="0.25">
      <c r="A101" s="218">
        <v>5</v>
      </c>
      <c r="B101" s="295" t="s">
        <v>110</v>
      </c>
      <c r="C101" s="295"/>
      <c r="D101" s="295"/>
      <c r="E101" s="295"/>
      <c r="F101" s="295"/>
      <c r="G101" s="295"/>
      <c r="H101" s="295"/>
    </row>
    <row r="102" spans="1:10" ht="15.75" x14ac:dyDescent="0.25">
      <c r="A102" s="174" t="s">
        <v>4</v>
      </c>
      <c r="B102" s="200" t="s">
        <v>111</v>
      </c>
      <c r="C102" s="200"/>
      <c r="D102" s="222"/>
      <c r="E102" s="176"/>
      <c r="F102" s="198"/>
      <c r="G102" s="198"/>
      <c r="H102" s="198">
        <v>29.2</v>
      </c>
    </row>
    <row r="103" spans="1:10" ht="15.75" x14ac:dyDescent="0.25">
      <c r="A103" s="174" t="s">
        <v>7</v>
      </c>
      <c r="B103" s="200" t="s">
        <v>112</v>
      </c>
      <c r="C103" s="200"/>
      <c r="D103" s="222"/>
      <c r="E103" s="176"/>
      <c r="F103" s="198"/>
      <c r="G103" s="198"/>
      <c r="H103" s="198"/>
    </row>
    <row r="104" spans="1:10" ht="15.75" x14ac:dyDescent="0.25">
      <c r="A104" s="174" t="s">
        <v>9</v>
      </c>
      <c r="B104" s="200" t="s">
        <v>113</v>
      </c>
      <c r="C104" s="200"/>
      <c r="D104" s="222"/>
      <c r="E104" s="176"/>
      <c r="F104" s="198"/>
      <c r="G104" s="198"/>
      <c r="H104" s="198">
        <v>0</v>
      </c>
    </row>
    <row r="105" spans="1:10" ht="15.75" x14ac:dyDescent="0.25">
      <c r="A105" s="174" t="s">
        <v>17</v>
      </c>
      <c r="B105" s="200" t="s">
        <v>164</v>
      </c>
      <c r="C105" s="200"/>
      <c r="D105" s="222"/>
      <c r="E105" s="176"/>
      <c r="F105" s="198"/>
      <c r="G105" s="198"/>
      <c r="H105" s="198">
        <v>23.32</v>
      </c>
    </row>
    <row r="106" spans="1:10" ht="15.75" x14ac:dyDescent="0.25">
      <c r="A106" s="174" t="s">
        <v>40</v>
      </c>
      <c r="B106" s="200" t="s">
        <v>249</v>
      </c>
      <c r="C106" s="200"/>
      <c r="D106" s="222"/>
      <c r="E106" s="176"/>
      <c r="F106" s="198"/>
      <c r="G106" s="198"/>
      <c r="H106" s="198">
        <v>3.76</v>
      </c>
    </row>
    <row r="107" spans="1:10" ht="15.75" x14ac:dyDescent="0.25">
      <c r="A107" s="216"/>
      <c r="B107" s="184" t="s">
        <v>45</v>
      </c>
      <c r="C107" s="184"/>
      <c r="D107" s="185"/>
      <c r="E107" s="185"/>
      <c r="F107" s="217"/>
      <c r="G107" s="194"/>
      <c r="H107" s="195">
        <f>SUM(H102:H106)</f>
        <v>56.279999999999994</v>
      </c>
    </row>
    <row r="108" spans="1:10" ht="15.75" x14ac:dyDescent="0.25">
      <c r="A108" s="218">
        <v>6</v>
      </c>
      <c r="B108" s="295" t="s">
        <v>114</v>
      </c>
      <c r="C108" s="295"/>
      <c r="D108" s="295"/>
      <c r="E108" s="295"/>
      <c r="F108" s="295"/>
      <c r="G108" s="295"/>
      <c r="H108" s="295"/>
    </row>
    <row r="109" spans="1:10" ht="15.75" x14ac:dyDescent="0.25">
      <c r="A109" s="223" t="s">
        <v>4</v>
      </c>
      <c r="B109" s="176"/>
      <c r="C109" s="176"/>
      <c r="D109" s="176"/>
      <c r="E109" s="176"/>
      <c r="F109" s="176" t="s">
        <v>115</v>
      </c>
      <c r="G109" s="162">
        <v>0.03</v>
      </c>
      <c r="H109" s="177">
        <f>G109*H124</f>
        <v>73.376353810785318</v>
      </c>
    </row>
    <row r="110" spans="1:10" ht="15.75" x14ac:dyDescent="0.25">
      <c r="A110" s="223" t="s">
        <v>7</v>
      </c>
      <c r="B110" s="176"/>
      <c r="C110" s="176"/>
      <c r="D110" s="176"/>
      <c r="E110" s="176"/>
      <c r="F110" s="174" t="s">
        <v>116</v>
      </c>
      <c r="G110" s="162">
        <v>6.7900000000000002E-2</v>
      </c>
      <c r="H110" s="177">
        <f>SUM(H109+H124)*$G$110</f>
        <v>171.05740188216313</v>
      </c>
    </row>
    <row r="111" spans="1:10" ht="15.75" x14ac:dyDescent="0.25">
      <c r="A111" s="223" t="s">
        <v>9</v>
      </c>
      <c r="B111" s="176"/>
      <c r="C111" s="176"/>
      <c r="D111" s="176"/>
      <c r="E111" s="176"/>
      <c r="F111" s="174" t="s">
        <v>117</v>
      </c>
      <c r="G111" s="224">
        <f>SUM(G112:G116)</f>
        <v>8.6499999999999994E-2</v>
      </c>
      <c r="H111" s="177">
        <f>H113+H114+H116</f>
        <v>254.74768110403693</v>
      </c>
    </row>
    <row r="112" spans="1:10" ht="15.75" x14ac:dyDescent="0.25">
      <c r="A112" s="223" t="s">
        <v>118</v>
      </c>
      <c r="B112" s="176"/>
      <c r="C112" s="176"/>
      <c r="D112" s="176"/>
      <c r="E112" s="176"/>
      <c r="F112" s="225" t="s">
        <v>119</v>
      </c>
      <c r="G112" s="178">
        <v>0</v>
      </c>
      <c r="H112" s="177"/>
      <c r="J112" s="120"/>
    </row>
    <row r="113" spans="1:9" ht="15.75" x14ac:dyDescent="0.25">
      <c r="A113" s="223" t="s">
        <v>120</v>
      </c>
      <c r="B113" s="176"/>
      <c r="C113" s="176"/>
      <c r="D113" s="176"/>
      <c r="E113" s="176"/>
      <c r="F113" s="225" t="s">
        <v>121</v>
      </c>
      <c r="G113" s="162">
        <v>6.4999999999999997E-3</v>
      </c>
      <c r="H113" s="177">
        <f>((H109+H110+H124)/0.9135)*G113</f>
        <v>19.142889331517225</v>
      </c>
    </row>
    <row r="114" spans="1:9" ht="15.75" x14ac:dyDescent="0.25">
      <c r="A114" s="223" t="s">
        <v>122</v>
      </c>
      <c r="B114" s="176"/>
      <c r="C114" s="176"/>
      <c r="D114" s="176"/>
      <c r="E114" s="176"/>
      <c r="F114" s="225" t="s">
        <v>123</v>
      </c>
      <c r="G114" s="162">
        <v>0.03</v>
      </c>
      <c r="H114" s="177">
        <f>((H109+H110+H124)/0.9135)*G114</f>
        <v>88.351796914694887</v>
      </c>
    </row>
    <row r="115" spans="1:9" ht="15.75" x14ac:dyDescent="0.25">
      <c r="A115" s="223" t="s">
        <v>124</v>
      </c>
      <c r="B115" s="176"/>
      <c r="C115" s="176"/>
      <c r="D115" s="176"/>
      <c r="E115" s="176"/>
      <c r="F115" s="225" t="s">
        <v>125</v>
      </c>
      <c r="G115" s="178">
        <v>0</v>
      </c>
      <c r="H115" s="177"/>
    </row>
    <row r="116" spans="1:9" ht="15.75" x14ac:dyDescent="0.25">
      <c r="A116" s="223" t="s">
        <v>126</v>
      </c>
      <c r="B116" s="176"/>
      <c r="C116" s="176"/>
      <c r="D116" s="176"/>
      <c r="E116" s="176"/>
      <c r="F116" s="225" t="s">
        <v>127</v>
      </c>
      <c r="G116" s="178">
        <v>0.05</v>
      </c>
      <c r="H116" s="177">
        <f>((H109+H110+H124)/0.9135)*G116</f>
        <v>147.25299485782483</v>
      </c>
    </row>
    <row r="117" spans="1:9" ht="15.75" x14ac:dyDescent="0.25">
      <c r="A117" s="216"/>
      <c r="B117" s="184" t="s">
        <v>45</v>
      </c>
      <c r="C117" s="184"/>
      <c r="D117" s="185"/>
      <c r="E117" s="185"/>
      <c r="F117" s="217"/>
      <c r="G117" s="194">
        <f>G111+G110+G109</f>
        <v>0.18439999999999998</v>
      </c>
      <c r="H117" s="195">
        <f>H109+H110+H111</f>
        <v>499.18143679698539</v>
      </c>
    </row>
    <row r="118" spans="1:9" ht="15.75" x14ac:dyDescent="0.25">
      <c r="A118" s="226"/>
      <c r="B118" s="295" t="s">
        <v>128</v>
      </c>
      <c r="C118" s="295"/>
      <c r="D118" s="295"/>
      <c r="E118" s="295"/>
      <c r="F118" s="295"/>
      <c r="G118" s="295"/>
      <c r="H118" s="295"/>
    </row>
    <row r="119" spans="1:9" ht="15.75" x14ac:dyDescent="0.25">
      <c r="A119" s="227" t="s">
        <v>4</v>
      </c>
      <c r="B119" s="176" t="s">
        <v>30</v>
      </c>
      <c r="C119" s="176"/>
      <c r="D119" s="176"/>
      <c r="E119" s="176"/>
      <c r="F119" s="177"/>
      <c r="G119" s="178">
        <f>SUM(H119/H$126)</f>
        <v>0.44484324453465729</v>
      </c>
      <c r="H119" s="177">
        <f>SUM(H38)</f>
        <v>1310.0899999999999</v>
      </c>
    </row>
    <row r="120" spans="1:9" ht="15.75" x14ac:dyDescent="0.25">
      <c r="A120" s="227" t="s">
        <v>7</v>
      </c>
      <c r="B120" s="176" t="s">
        <v>129</v>
      </c>
      <c r="C120" s="176"/>
      <c r="D120" s="176"/>
      <c r="E120" s="176"/>
      <c r="F120" s="177"/>
      <c r="G120" s="178">
        <f>SUM(H120/H$126)</f>
        <v>0.32709698649800012</v>
      </c>
      <c r="H120" s="177">
        <f>H72</f>
        <v>963.32021741600011</v>
      </c>
    </row>
    <row r="121" spans="1:9" ht="15.75" x14ac:dyDescent="0.25">
      <c r="A121" s="227" t="s">
        <v>9</v>
      </c>
      <c r="B121" s="176" t="s">
        <v>130</v>
      </c>
      <c r="C121" s="176"/>
      <c r="D121" s="176"/>
      <c r="E121" s="176"/>
      <c r="F121" s="177"/>
      <c r="G121" s="178">
        <f>SUM(H121/H$126)</f>
        <v>3.1601664085765944E-2</v>
      </c>
      <c r="H121" s="177">
        <f>H80</f>
        <v>93.068793582400005</v>
      </c>
    </row>
    <row r="122" spans="1:9" ht="15.75" x14ac:dyDescent="0.25">
      <c r="A122" s="227" t="s">
        <v>17</v>
      </c>
      <c r="B122" s="176" t="s">
        <v>131</v>
      </c>
      <c r="C122" s="176"/>
      <c r="D122" s="176"/>
      <c r="E122" s="176"/>
      <c r="F122" s="177"/>
      <c r="G122" s="178">
        <f>SUM(H122/H$126)</f>
        <v>7.8502475903574377E-3</v>
      </c>
      <c r="H122" s="177">
        <f>H100</f>
        <v>23.119449361111108</v>
      </c>
    </row>
    <row r="123" spans="1:9" ht="15.75" x14ac:dyDescent="0.25">
      <c r="A123" s="227" t="s">
        <v>40</v>
      </c>
      <c r="B123" s="176" t="s">
        <v>110</v>
      </c>
      <c r="C123" s="176"/>
      <c r="D123" s="176"/>
      <c r="E123" s="176"/>
      <c r="F123" s="177"/>
      <c r="G123" s="178">
        <f>H123/H126</f>
        <v>1.9109967866643138E-2</v>
      </c>
      <c r="H123" s="177">
        <f>H107</f>
        <v>56.279999999999994</v>
      </c>
    </row>
    <row r="124" spans="1:9" ht="15.75" x14ac:dyDescent="0.25">
      <c r="A124" s="227"/>
      <c r="B124" s="176" t="s">
        <v>132</v>
      </c>
      <c r="C124" s="176"/>
      <c r="D124" s="176"/>
      <c r="E124" s="176"/>
      <c r="F124" s="177"/>
      <c r="G124" s="178">
        <f>SUM(G119:G123)</f>
        <v>0.83050211057542389</v>
      </c>
      <c r="H124" s="177">
        <f>SUM(H119:H123)</f>
        <v>2445.8784603595109</v>
      </c>
    </row>
    <row r="125" spans="1:9" ht="15.75" x14ac:dyDescent="0.25">
      <c r="A125" s="227" t="s">
        <v>40</v>
      </c>
      <c r="B125" s="176" t="s">
        <v>133</v>
      </c>
      <c r="C125" s="176"/>
      <c r="D125" s="176"/>
      <c r="E125" s="176"/>
      <c r="F125" s="177"/>
      <c r="G125" s="178">
        <f>SUM(H125/H$126)</f>
        <v>0.16949788942457614</v>
      </c>
      <c r="H125" s="177">
        <f>H117</f>
        <v>499.18143679698539</v>
      </c>
      <c r="I125" s="115"/>
    </row>
    <row r="126" spans="1:9" ht="15.75" x14ac:dyDescent="0.25">
      <c r="A126" s="184"/>
      <c r="B126" s="184" t="s">
        <v>134</v>
      </c>
      <c r="C126" s="184"/>
      <c r="D126" s="184"/>
      <c r="E126" s="184"/>
      <c r="F126" s="184"/>
      <c r="G126" s="184">
        <f>SUM(G124+G125)</f>
        <v>1</v>
      </c>
      <c r="H126" s="228">
        <f>H125+H124</f>
        <v>2945.0598971564964</v>
      </c>
      <c r="I126" s="115"/>
    </row>
    <row r="127" spans="1:9" ht="15.75" x14ac:dyDescent="0.25">
      <c r="A127" s="229"/>
      <c r="B127" s="295" t="s">
        <v>135</v>
      </c>
      <c r="C127" s="295"/>
      <c r="D127" s="295"/>
      <c r="E127" s="295"/>
      <c r="F127" s="295"/>
      <c r="G127" s="295"/>
      <c r="H127" s="295"/>
    </row>
    <row r="128" spans="1:9" ht="47.25" x14ac:dyDescent="0.25">
      <c r="A128" s="176"/>
      <c r="B128" s="230" t="s">
        <v>20</v>
      </c>
      <c r="C128" s="230"/>
      <c r="D128" s="231" t="s">
        <v>136</v>
      </c>
      <c r="E128" s="231" t="s">
        <v>137</v>
      </c>
      <c r="F128" s="232" t="s">
        <v>138</v>
      </c>
      <c r="G128" s="231" t="s">
        <v>139</v>
      </c>
      <c r="H128" s="233" t="s">
        <v>140</v>
      </c>
    </row>
    <row r="129" spans="1:8" ht="15.75" x14ac:dyDescent="0.25">
      <c r="A129" s="176"/>
      <c r="B129" s="223" t="s">
        <v>141</v>
      </c>
      <c r="C129" s="223"/>
      <c r="D129" s="223" t="s">
        <v>142</v>
      </c>
      <c r="E129" s="231" t="s">
        <v>143</v>
      </c>
      <c r="F129" s="232" t="s">
        <v>144</v>
      </c>
      <c r="G129" s="223" t="s">
        <v>145</v>
      </c>
      <c r="H129" s="234" t="s">
        <v>146</v>
      </c>
    </row>
    <row r="130" spans="1:8" ht="15.75" x14ac:dyDescent="0.25">
      <c r="A130" s="174"/>
      <c r="B130" s="235"/>
      <c r="C130" s="235"/>
      <c r="D130" s="236">
        <f>SUM(H126)</f>
        <v>2945.0598971564964</v>
      </c>
      <c r="E130" s="165">
        <v>1</v>
      </c>
      <c r="F130" s="236">
        <f>D130*E130</f>
        <v>2945.0598971564964</v>
      </c>
      <c r="G130" s="166">
        <v>1</v>
      </c>
      <c r="H130" s="177">
        <f>E130*D130</f>
        <v>2945.0598971564964</v>
      </c>
    </row>
    <row r="131" spans="1:8" ht="15.75" x14ac:dyDescent="0.25">
      <c r="A131" s="176"/>
      <c r="B131" s="230" t="s">
        <v>147</v>
      </c>
      <c r="C131" s="230"/>
      <c r="D131" s="200"/>
      <c r="E131" s="200"/>
      <c r="F131" s="200"/>
      <c r="G131" s="200"/>
      <c r="H131" s="237">
        <f>SUM(H130)</f>
        <v>2945.0598971564964</v>
      </c>
    </row>
    <row r="132" spans="1:8" ht="15.75" x14ac:dyDescent="0.25">
      <c r="A132" s="176"/>
      <c r="B132" s="230"/>
      <c r="C132" s="230"/>
      <c r="D132" s="238"/>
      <c r="E132" s="230"/>
      <c r="F132" s="230"/>
      <c r="G132" s="230"/>
      <c r="H132" s="230"/>
    </row>
    <row r="133" spans="1:8" ht="15.75" x14ac:dyDescent="0.25">
      <c r="A133" s="218"/>
      <c r="B133" s="295" t="s">
        <v>148</v>
      </c>
      <c r="C133" s="295"/>
      <c r="D133" s="295"/>
      <c r="E133" s="295"/>
      <c r="F133" s="295"/>
      <c r="G133" s="295"/>
      <c r="H133" s="295"/>
    </row>
    <row r="134" spans="1:8" ht="15.75" x14ac:dyDescent="0.25">
      <c r="A134" s="239"/>
      <c r="B134" s="239" t="s">
        <v>149</v>
      </c>
      <c r="C134" s="239"/>
      <c r="D134" s="239"/>
      <c r="E134" s="230"/>
      <c r="F134" s="230"/>
      <c r="G134" s="230"/>
      <c r="H134" s="240" t="s">
        <v>150</v>
      </c>
    </row>
    <row r="135" spans="1:8" ht="15.75" x14ac:dyDescent="0.25">
      <c r="A135" s="241" t="s">
        <v>4</v>
      </c>
      <c r="B135" s="242" t="s">
        <v>151</v>
      </c>
      <c r="C135" s="242"/>
      <c r="D135" s="242"/>
      <c r="E135" s="200"/>
      <c r="F135" s="200"/>
      <c r="G135" s="200"/>
      <c r="H135" s="240">
        <f>D130</f>
        <v>2945.0598971564964</v>
      </c>
    </row>
    <row r="136" spans="1:8" ht="15.75" x14ac:dyDescent="0.25">
      <c r="A136" s="241" t="s">
        <v>7</v>
      </c>
      <c r="B136" s="242" t="s">
        <v>152</v>
      </c>
      <c r="C136" s="242"/>
      <c r="D136" s="242"/>
      <c r="E136" s="200"/>
      <c r="F136" s="200"/>
      <c r="G136" s="200"/>
      <c r="H136" s="240">
        <f>H131</f>
        <v>2945.0598971564964</v>
      </c>
    </row>
    <row r="137" spans="1:8" ht="15.75" x14ac:dyDescent="0.25">
      <c r="A137" s="241" t="s">
        <v>17</v>
      </c>
      <c r="B137" s="175" t="s">
        <v>153</v>
      </c>
      <c r="C137" s="175"/>
      <c r="D137" s="242"/>
      <c r="E137" s="200"/>
      <c r="F137" s="200"/>
      <c r="G137" s="165">
        <v>12</v>
      </c>
      <c r="H137" s="240">
        <f>SUM(H136*G137)</f>
        <v>35340.718765877959</v>
      </c>
    </row>
    <row r="138" spans="1:8" ht="15.75" x14ac:dyDescent="0.25">
      <c r="A138" s="6"/>
      <c r="B138" s="6"/>
      <c r="C138" s="6"/>
      <c r="D138" s="6"/>
      <c r="E138" s="6"/>
      <c r="F138" s="6"/>
      <c r="G138" s="6"/>
      <c r="H138" s="6"/>
    </row>
    <row r="141" spans="1:8" x14ac:dyDescent="0.25">
      <c r="A141" s="149" t="s">
        <v>204</v>
      </c>
      <c r="B141" s="149"/>
    </row>
    <row r="142" spans="1:8" x14ac:dyDescent="0.25">
      <c r="A142" s="149" t="s">
        <v>205</v>
      </c>
      <c r="B142" s="149"/>
    </row>
    <row r="143" spans="1:8" x14ac:dyDescent="0.25">
      <c r="A143" s="149" t="s">
        <v>253</v>
      </c>
      <c r="B143" s="149"/>
    </row>
    <row r="144" spans="1:8" x14ac:dyDescent="0.25">
      <c r="A144" s="149"/>
      <c r="B144" s="149"/>
    </row>
    <row r="145" spans="1:8" ht="38.25" customHeight="1" x14ac:dyDescent="0.25">
      <c r="A145" s="293" t="s">
        <v>207</v>
      </c>
      <c r="B145" s="293"/>
      <c r="C145" s="293"/>
      <c r="D145" s="293"/>
      <c r="E145" s="293"/>
      <c r="F145" s="293"/>
      <c r="G145" s="293"/>
      <c r="H145" s="293"/>
    </row>
    <row r="147" spans="1:8" x14ac:dyDescent="0.25">
      <c r="A147" t="s">
        <v>208</v>
      </c>
    </row>
    <row r="148" spans="1:8" x14ac:dyDescent="0.25">
      <c r="A148" s="149" t="s">
        <v>209</v>
      </c>
    </row>
    <row r="149" spans="1:8" x14ac:dyDescent="0.25">
      <c r="A149" s="149" t="s">
        <v>210</v>
      </c>
    </row>
    <row r="150" spans="1:8" x14ac:dyDescent="0.25">
      <c r="A150" s="149"/>
    </row>
    <row r="151" spans="1:8" ht="36.75" customHeight="1" x14ac:dyDescent="0.25">
      <c r="A151" s="293" t="s">
        <v>211</v>
      </c>
      <c r="B151" s="293"/>
      <c r="C151" s="293"/>
      <c r="D151" s="293"/>
      <c r="E151" s="293"/>
      <c r="F151" s="293"/>
      <c r="G151" s="293"/>
      <c r="H151" s="293"/>
    </row>
    <row r="152" spans="1:8" x14ac:dyDescent="0.25">
      <c r="A152" s="149"/>
    </row>
    <row r="153" spans="1:8" ht="55.5" customHeight="1" x14ac:dyDescent="0.25">
      <c r="A153" s="293" t="s">
        <v>212</v>
      </c>
      <c r="B153" s="293"/>
      <c r="C153" s="293"/>
      <c r="D153" s="293"/>
      <c r="E153" s="293"/>
      <c r="F153" s="293"/>
      <c r="G153" s="293"/>
      <c r="H153" s="293"/>
    </row>
    <row r="154" spans="1:8" x14ac:dyDescent="0.25">
      <c r="A154" s="149"/>
    </row>
    <row r="155" spans="1:8" x14ac:dyDescent="0.25">
      <c r="A155" s="149"/>
    </row>
    <row r="156" spans="1:8" ht="46.5" customHeight="1" x14ac:dyDescent="0.25">
      <c r="A156" s="293" t="s">
        <v>207</v>
      </c>
      <c r="B156" s="293"/>
      <c r="C156" s="293"/>
      <c r="D156" s="293"/>
      <c r="E156" s="293"/>
      <c r="F156" s="293"/>
      <c r="G156" s="293"/>
      <c r="H156" s="293"/>
    </row>
    <row r="157" spans="1:8" ht="40.5" customHeight="1" x14ac:dyDescent="0.25">
      <c r="A157" s="293" t="s">
        <v>223</v>
      </c>
      <c r="B157" s="293"/>
      <c r="C157" s="293"/>
      <c r="D157" s="293"/>
      <c r="E157" s="293"/>
      <c r="F157" s="293"/>
      <c r="G157" s="293"/>
      <c r="H157" s="293"/>
    </row>
    <row r="158" spans="1:8" x14ac:dyDescent="0.25">
      <c r="B158" s="150" t="s">
        <v>214</v>
      </c>
      <c r="C158" s="151"/>
      <c r="D158" s="151"/>
      <c r="E158" s="151"/>
      <c r="F158" s="151"/>
    </row>
    <row r="159" spans="1:8" x14ac:dyDescent="0.25">
      <c r="B159" s="150"/>
      <c r="C159" s="151"/>
      <c r="D159" s="151"/>
      <c r="E159" s="151"/>
      <c r="F159" s="151"/>
    </row>
    <row r="160" spans="1:8" x14ac:dyDescent="0.25">
      <c r="B160" s="150" t="s">
        <v>215</v>
      </c>
      <c r="C160" s="151" t="s">
        <v>216</v>
      </c>
      <c r="D160" s="151" t="s">
        <v>217</v>
      </c>
      <c r="E160" s="151" t="s">
        <v>218</v>
      </c>
      <c r="F160" s="151" t="s">
        <v>219</v>
      </c>
    </row>
    <row r="161" spans="1:8" x14ac:dyDescent="0.25">
      <c r="B161" s="150" t="s">
        <v>220</v>
      </c>
      <c r="C161" s="152">
        <v>1.6500000000000001E-2</v>
      </c>
      <c r="D161" s="152">
        <v>7.5999999999999998E-2</v>
      </c>
      <c r="E161" s="153">
        <v>0.05</v>
      </c>
      <c r="F161" s="151">
        <v>0.85750000000000004</v>
      </c>
    </row>
    <row r="162" spans="1:8" x14ac:dyDescent="0.25">
      <c r="B162" s="150" t="s">
        <v>221</v>
      </c>
      <c r="C162" s="152">
        <v>6.4999999999999997E-3</v>
      </c>
      <c r="D162" s="153">
        <v>0.03</v>
      </c>
      <c r="E162" s="153">
        <v>0.05</v>
      </c>
      <c r="F162" s="151">
        <v>0.91349999999999998</v>
      </c>
    </row>
    <row r="163" spans="1:8" x14ac:dyDescent="0.25">
      <c r="B163" s="150" t="s">
        <v>222</v>
      </c>
      <c r="C163" s="152">
        <v>4.4000000000000003E-3</v>
      </c>
      <c r="D163" s="152">
        <v>2.35E-2</v>
      </c>
      <c r="E163" s="153">
        <v>0.05</v>
      </c>
      <c r="F163" s="151">
        <v>0.92210000000000003</v>
      </c>
    </row>
    <row r="165" spans="1:8" ht="43.5" customHeight="1" x14ac:dyDescent="0.25">
      <c r="A165" s="292" t="s">
        <v>225</v>
      </c>
      <c r="B165" s="292"/>
      <c r="C165" s="292"/>
      <c r="D165" s="292"/>
      <c r="E165" s="292"/>
      <c r="F165" s="292"/>
      <c r="G165" s="292"/>
      <c r="H165" s="292"/>
    </row>
  </sheetData>
  <mergeCells count="57">
    <mergeCell ref="B118:H118"/>
    <mergeCell ref="B127:H127"/>
    <mergeCell ref="B133:H133"/>
    <mergeCell ref="C84:C89"/>
    <mergeCell ref="E84:E89"/>
    <mergeCell ref="B93:H93"/>
    <mergeCell ref="A97:H97"/>
    <mergeCell ref="B101:H101"/>
    <mergeCell ref="B108:H108"/>
    <mergeCell ref="B82:H82"/>
    <mergeCell ref="A60:A62"/>
    <mergeCell ref="D60:D61"/>
    <mergeCell ref="E60:E61"/>
    <mergeCell ref="F60:F61"/>
    <mergeCell ref="G60:G61"/>
    <mergeCell ref="B62:E62"/>
    <mergeCell ref="B63:E63"/>
    <mergeCell ref="B67:E67"/>
    <mergeCell ref="A68:H68"/>
    <mergeCell ref="B73:H73"/>
    <mergeCell ref="B81:H81"/>
    <mergeCell ref="B55:H55"/>
    <mergeCell ref="A57:A59"/>
    <mergeCell ref="D57:D58"/>
    <mergeCell ref="E57:E58"/>
    <mergeCell ref="F57:F58"/>
    <mergeCell ref="G57:G58"/>
    <mergeCell ref="D47:E48"/>
    <mergeCell ref="E18:H18"/>
    <mergeCell ref="B19:H19"/>
    <mergeCell ref="A20:H20"/>
    <mergeCell ref="D21:H21"/>
    <mergeCell ref="D22:H22"/>
    <mergeCell ref="D24:H24"/>
    <mergeCell ref="D25:H25"/>
    <mergeCell ref="B26:H26"/>
    <mergeCell ref="B39:H39"/>
    <mergeCell ref="B40:H40"/>
    <mergeCell ref="B45:H45"/>
    <mergeCell ref="E17:H17"/>
    <mergeCell ref="A3:H3"/>
    <mergeCell ref="E4:H6"/>
    <mergeCell ref="A7:D7"/>
    <mergeCell ref="A8:H8"/>
    <mergeCell ref="D9:H9"/>
    <mergeCell ref="D10:H10"/>
    <mergeCell ref="D11:H11"/>
    <mergeCell ref="D12:H12"/>
    <mergeCell ref="A14:H14"/>
    <mergeCell ref="E15:H15"/>
    <mergeCell ref="E16:H16"/>
    <mergeCell ref="A165:H165"/>
    <mergeCell ref="A145:H145"/>
    <mergeCell ref="A151:H151"/>
    <mergeCell ref="A153:H153"/>
    <mergeCell ref="A156:H156"/>
    <mergeCell ref="A157:H157"/>
  </mergeCells>
  <dataValidations count="4">
    <dataValidation type="list" operator="equal" allowBlank="1" showErrorMessage="1" promptTitle="Percentual" sqref="E31">
      <formula1>$K$28:$K$31</formula1>
      <formula2>0</formula2>
    </dataValidation>
    <dataValidation type="list" operator="equal" allowBlank="1" showErrorMessage="1" sqref="D31">
      <formula1>$J$28:$J$31</formula1>
      <formula2>0</formula2>
    </dataValidation>
    <dataValidation type="list" operator="equal" allowBlank="1" showErrorMessage="1" sqref="E28">
      <formula1>$K$33:$K$34</formula1>
      <formula2>0</formula2>
    </dataValidation>
    <dataValidation type="list" operator="equal" allowBlank="1" showErrorMessage="1" sqref="D28">
      <formula1>$J$33:$J$34</formula1>
      <formula2>0</formula2>
    </dataValidation>
  </dataValidations>
  <pageMargins left="0.7" right="0.7" top="0.75" bottom="0.75" header="0.3" footer="0.3"/>
  <pageSetup scale="45"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5"/>
  <sheetViews>
    <sheetView zoomScale="90" zoomScaleNormal="90" workbookViewId="0">
      <selection activeCell="H116" sqref="H116"/>
    </sheetView>
  </sheetViews>
  <sheetFormatPr defaultRowHeight="15" x14ac:dyDescent="0.25"/>
  <cols>
    <col min="1" max="1" width="4.85546875" bestFit="1" customWidth="1"/>
    <col min="2" max="2" width="54.85546875" customWidth="1"/>
    <col min="3" max="3" width="11.5703125" customWidth="1"/>
    <col min="4" max="4" width="34" customWidth="1"/>
    <col min="5" max="5" width="18" customWidth="1"/>
    <col min="6" max="6" width="25.28515625" bestFit="1" customWidth="1"/>
    <col min="7" max="7" width="11.5703125" bestFit="1" customWidth="1"/>
    <col min="8" max="8" width="27.5703125" bestFit="1" customWidth="1"/>
    <col min="9" max="9" width="20.7109375" customWidth="1"/>
    <col min="10" max="10" width="11" bestFit="1" customWidth="1"/>
  </cols>
  <sheetData>
    <row r="1" spans="1:8" x14ac:dyDescent="0.25">
      <c r="A1" s="1"/>
      <c r="B1" s="1"/>
      <c r="C1" s="1"/>
      <c r="D1" s="1"/>
      <c r="E1" s="1"/>
      <c r="F1" s="1"/>
      <c r="G1" s="1"/>
      <c r="H1" s="2"/>
    </row>
    <row r="2" spans="1:8" ht="15.75" x14ac:dyDescent="0.25">
      <c r="A2" s="3"/>
      <c r="B2" s="3" t="s">
        <v>0</v>
      </c>
      <c r="C2" s="3"/>
      <c r="D2" s="4"/>
      <c r="E2" s="3"/>
      <c r="F2" s="3" t="s">
        <v>2</v>
      </c>
      <c r="G2" s="3"/>
      <c r="H2" s="5"/>
    </row>
    <row r="3" spans="1:8" ht="15.75" x14ac:dyDescent="0.25">
      <c r="A3" s="269" t="s">
        <v>3</v>
      </c>
      <c r="B3" s="269"/>
      <c r="C3" s="269"/>
      <c r="D3" s="269"/>
      <c r="E3" s="269"/>
      <c r="F3" s="269"/>
      <c r="G3" s="269"/>
      <c r="H3" s="269"/>
    </row>
    <row r="4" spans="1:8" ht="15.75" x14ac:dyDescent="0.25">
      <c r="A4" s="6" t="s">
        <v>4</v>
      </c>
      <c r="B4" s="7" t="s">
        <v>5</v>
      </c>
      <c r="C4" s="7"/>
      <c r="D4" s="8"/>
      <c r="E4" s="287" t="s">
        <v>6</v>
      </c>
      <c r="F4" s="287"/>
      <c r="G4" s="287"/>
      <c r="H4" s="287"/>
    </row>
    <row r="5" spans="1:8" ht="15.75" x14ac:dyDescent="0.25">
      <c r="A5" s="6" t="s">
        <v>7</v>
      </c>
      <c r="B5" s="7" t="s">
        <v>8</v>
      </c>
      <c r="C5" s="7"/>
      <c r="D5" s="9"/>
      <c r="E5" s="287"/>
      <c r="F5" s="287"/>
      <c r="G5" s="287"/>
      <c r="H5" s="287"/>
    </row>
    <row r="6" spans="1:8" ht="15.75" x14ac:dyDescent="0.25">
      <c r="A6" s="6" t="s">
        <v>9</v>
      </c>
      <c r="B6" s="7" t="s">
        <v>10</v>
      </c>
      <c r="C6" s="7"/>
      <c r="D6" s="10"/>
      <c r="E6" s="287"/>
      <c r="F6" s="287"/>
      <c r="G6" s="287"/>
      <c r="H6" s="287"/>
    </row>
    <row r="7" spans="1:8" ht="15.75" x14ac:dyDescent="0.25">
      <c r="A7" s="288"/>
      <c r="B7" s="288"/>
      <c r="C7" s="288"/>
      <c r="D7" s="288"/>
      <c r="E7" s="11"/>
      <c r="F7" s="11"/>
      <c r="G7" s="11"/>
      <c r="H7" s="11"/>
    </row>
    <row r="8" spans="1:8" ht="15.75" x14ac:dyDescent="0.25">
      <c r="A8" s="269" t="s">
        <v>12</v>
      </c>
      <c r="B8" s="269"/>
      <c r="C8" s="269"/>
      <c r="D8" s="269"/>
      <c r="E8" s="269"/>
      <c r="F8" s="269"/>
      <c r="G8" s="269"/>
      <c r="H8" s="269"/>
    </row>
    <row r="9" spans="1:8" x14ac:dyDescent="0.25">
      <c r="A9" s="12" t="s">
        <v>4</v>
      </c>
      <c r="B9" s="13" t="s">
        <v>13</v>
      </c>
      <c r="C9" s="13"/>
      <c r="D9" s="294">
        <v>44301</v>
      </c>
      <c r="E9" s="281"/>
      <c r="F9" s="281"/>
      <c r="G9" s="281"/>
      <c r="H9" s="281"/>
    </row>
    <row r="10" spans="1:8" x14ac:dyDescent="0.25">
      <c r="A10" s="12" t="s">
        <v>7</v>
      </c>
      <c r="B10" s="13" t="s">
        <v>15</v>
      </c>
      <c r="C10" s="13"/>
      <c r="D10" s="289" t="s">
        <v>185</v>
      </c>
      <c r="E10" s="289"/>
      <c r="F10" s="289"/>
      <c r="G10" s="289"/>
      <c r="H10" s="289"/>
    </row>
    <row r="11" spans="1:8" x14ac:dyDescent="0.25">
      <c r="A11" s="12" t="s">
        <v>9</v>
      </c>
      <c r="B11" s="13" t="s">
        <v>16</v>
      </c>
      <c r="C11" s="13"/>
      <c r="D11" s="289" t="s">
        <v>263</v>
      </c>
      <c r="E11" s="289"/>
      <c r="F11" s="289"/>
      <c r="G11" s="289"/>
      <c r="H11" s="289"/>
    </row>
    <row r="12" spans="1:8" x14ac:dyDescent="0.25">
      <c r="A12" s="12" t="s">
        <v>17</v>
      </c>
      <c r="B12" s="13" t="s">
        <v>18</v>
      </c>
      <c r="C12" s="13"/>
      <c r="D12" s="289">
        <v>12</v>
      </c>
      <c r="E12" s="289"/>
      <c r="F12" s="289"/>
      <c r="G12" s="289"/>
      <c r="H12" s="289"/>
    </row>
    <row r="13" spans="1:8" x14ac:dyDescent="0.25">
      <c r="A13" s="12"/>
      <c r="B13" s="13"/>
      <c r="C13" s="13"/>
      <c r="D13" s="14"/>
      <c r="E13" s="14"/>
      <c r="F13" s="14"/>
      <c r="G13" s="14"/>
      <c r="H13" s="15"/>
    </row>
    <row r="14" spans="1:8" ht="15.75" x14ac:dyDescent="0.25">
      <c r="A14" s="269" t="s">
        <v>19</v>
      </c>
      <c r="B14" s="269"/>
      <c r="C14" s="269"/>
      <c r="D14" s="269"/>
      <c r="E14" s="269"/>
      <c r="F14" s="269"/>
      <c r="G14" s="269"/>
      <c r="H14" s="269"/>
    </row>
    <row r="15" spans="1:8" ht="15.75" x14ac:dyDescent="0.25">
      <c r="A15" s="12"/>
      <c r="B15" s="16" t="s">
        <v>20</v>
      </c>
      <c r="C15" s="16"/>
      <c r="D15" s="17" t="s">
        <v>21</v>
      </c>
      <c r="E15" s="290" t="s">
        <v>22</v>
      </c>
      <c r="F15" s="290"/>
      <c r="G15" s="290"/>
      <c r="H15" s="290"/>
    </row>
    <row r="16" spans="1:8" x14ac:dyDescent="0.25">
      <c r="A16" s="12" t="s">
        <v>4</v>
      </c>
      <c r="B16" s="18" t="s">
        <v>180</v>
      </c>
      <c r="C16" s="19"/>
      <c r="D16" s="20" t="s">
        <v>23</v>
      </c>
      <c r="E16" s="291">
        <v>1</v>
      </c>
      <c r="F16" s="291"/>
      <c r="G16" s="291"/>
      <c r="H16" s="291"/>
    </row>
    <row r="17" spans="1:8" x14ac:dyDescent="0.25">
      <c r="A17" s="12" t="s">
        <v>7</v>
      </c>
      <c r="B17" s="13"/>
      <c r="C17" s="13"/>
      <c r="D17" s="21"/>
      <c r="E17" s="279"/>
      <c r="F17" s="279"/>
      <c r="G17" s="279"/>
      <c r="H17" s="279"/>
    </row>
    <row r="18" spans="1:8" x14ac:dyDescent="0.25">
      <c r="A18" s="12" t="s">
        <v>9</v>
      </c>
      <c r="B18" s="13"/>
      <c r="C18" s="13"/>
      <c r="D18" s="21"/>
      <c r="E18" s="279"/>
      <c r="F18" s="279"/>
      <c r="G18" s="279"/>
      <c r="H18" s="279"/>
    </row>
    <row r="19" spans="1:8" ht="15.75" x14ac:dyDescent="0.25">
      <c r="A19" s="110"/>
      <c r="B19" s="269" t="s">
        <v>24</v>
      </c>
      <c r="C19" s="269"/>
      <c r="D19" s="269"/>
      <c r="E19" s="269"/>
      <c r="F19" s="269"/>
      <c r="G19" s="269"/>
      <c r="H19" s="269"/>
    </row>
    <row r="20" spans="1:8" ht="15.75" x14ac:dyDescent="0.25">
      <c r="A20" s="280" t="s">
        <v>25</v>
      </c>
      <c r="B20" s="280"/>
      <c r="C20" s="280"/>
      <c r="D20" s="280"/>
      <c r="E20" s="280"/>
      <c r="F20" s="280"/>
      <c r="G20" s="280"/>
      <c r="H20" s="280"/>
    </row>
    <row r="21" spans="1:8" x14ac:dyDescent="0.25">
      <c r="A21" s="12">
        <v>1</v>
      </c>
      <c r="B21" s="13" t="s">
        <v>20</v>
      </c>
      <c r="C21" s="13"/>
      <c r="D21" s="281" t="s">
        <v>182</v>
      </c>
      <c r="E21" s="281"/>
      <c r="F21" s="281"/>
      <c r="G21" s="281"/>
      <c r="H21" s="281"/>
    </row>
    <row r="22" spans="1:8" x14ac:dyDescent="0.25">
      <c r="A22" s="12">
        <v>2</v>
      </c>
      <c r="B22" s="13" t="s">
        <v>26</v>
      </c>
      <c r="C22" s="13"/>
      <c r="D22" s="282" t="s">
        <v>244</v>
      </c>
      <c r="E22" s="282"/>
      <c r="F22" s="282"/>
      <c r="G22" s="282"/>
      <c r="H22" s="282"/>
    </row>
    <row r="23" spans="1:8" x14ac:dyDescent="0.25">
      <c r="A23" s="12">
        <v>3</v>
      </c>
      <c r="B23" s="13" t="s">
        <v>27</v>
      </c>
      <c r="C23" s="13"/>
      <c r="D23" s="22">
        <v>1310.0899999999999</v>
      </c>
      <c r="E23" s="23"/>
      <c r="F23" s="23"/>
      <c r="G23" s="23"/>
      <c r="H23" s="23"/>
    </row>
    <row r="24" spans="1:8" ht="30" x14ac:dyDescent="0.25">
      <c r="A24" s="1">
        <v>4</v>
      </c>
      <c r="B24" s="24" t="s">
        <v>28</v>
      </c>
      <c r="C24" s="24"/>
      <c r="D24" s="283" t="s">
        <v>264</v>
      </c>
      <c r="E24" s="283"/>
      <c r="F24" s="283"/>
      <c r="G24" s="283"/>
      <c r="H24" s="283"/>
    </row>
    <row r="25" spans="1:8" x14ac:dyDescent="0.25">
      <c r="A25" s="1">
        <v>5</v>
      </c>
      <c r="B25" s="25" t="s">
        <v>29</v>
      </c>
      <c r="C25" s="25"/>
      <c r="D25" s="284" t="s">
        <v>265</v>
      </c>
      <c r="E25" s="284"/>
      <c r="F25" s="284"/>
      <c r="G25" s="284"/>
      <c r="H25" s="284"/>
    </row>
    <row r="26" spans="1:8" ht="15.75" x14ac:dyDescent="0.25">
      <c r="A26" s="188">
        <v>1</v>
      </c>
      <c r="B26" s="295" t="s">
        <v>30</v>
      </c>
      <c r="C26" s="295"/>
      <c r="D26" s="295"/>
      <c r="E26" s="295"/>
      <c r="F26" s="295"/>
      <c r="G26" s="295"/>
      <c r="H26" s="295"/>
    </row>
    <row r="27" spans="1:8" ht="15.75" x14ac:dyDescent="0.25">
      <c r="A27" s="174" t="s">
        <v>4</v>
      </c>
      <c r="B27" s="176" t="s">
        <v>31</v>
      </c>
      <c r="C27" s="176"/>
      <c r="D27" s="176"/>
      <c r="E27" s="205"/>
      <c r="F27" s="205"/>
      <c r="G27" s="177"/>
      <c r="H27" s="243">
        <f>D23</f>
        <v>1310.0899999999999</v>
      </c>
    </row>
    <row r="28" spans="1:8" ht="15.75" x14ac:dyDescent="0.25">
      <c r="A28" s="174" t="s">
        <v>7</v>
      </c>
      <c r="B28" s="176" t="s">
        <v>32</v>
      </c>
      <c r="C28" s="176"/>
      <c r="D28" s="244"/>
      <c r="E28" s="245">
        <v>0</v>
      </c>
      <c r="F28" s="205"/>
      <c r="G28" s="205"/>
      <c r="H28" s="246"/>
    </row>
    <row r="29" spans="1:8" ht="15.75" x14ac:dyDescent="0.25">
      <c r="A29" s="174" t="s">
        <v>9</v>
      </c>
      <c r="B29" s="176" t="s">
        <v>34</v>
      </c>
      <c r="C29" s="176"/>
      <c r="D29" s="247" t="s">
        <v>35</v>
      </c>
      <c r="E29" s="248" t="s">
        <v>36</v>
      </c>
      <c r="F29" s="247" t="s">
        <v>37</v>
      </c>
      <c r="G29" s="198"/>
      <c r="H29" s="246"/>
    </row>
    <row r="30" spans="1:8" ht="15.75" x14ac:dyDescent="0.25">
      <c r="A30" s="174" t="s">
        <v>17</v>
      </c>
      <c r="B30" s="176" t="s">
        <v>167</v>
      </c>
      <c r="C30" s="176"/>
      <c r="D30" s="247"/>
      <c r="E30" s="248"/>
      <c r="F30" s="247"/>
      <c r="G30" s="198"/>
      <c r="H30" s="246"/>
    </row>
    <row r="31" spans="1:8" ht="15.75" x14ac:dyDescent="0.25">
      <c r="A31" s="174" t="s">
        <v>40</v>
      </c>
      <c r="B31" s="176" t="s">
        <v>38</v>
      </c>
      <c r="C31" s="176"/>
      <c r="D31" s="244" t="s">
        <v>39</v>
      </c>
      <c r="E31" s="249">
        <v>0</v>
      </c>
      <c r="F31" s="250"/>
      <c r="G31" s="176"/>
      <c r="H31" s="251"/>
    </row>
    <row r="32" spans="1:8" ht="15.75" x14ac:dyDescent="0.25">
      <c r="A32" s="174" t="s">
        <v>42</v>
      </c>
      <c r="B32" s="176" t="s">
        <v>41</v>
      </c>
      <c r="C32" s="176"/>
      <c r="D32" s="205"/>
      <c r="E32" s="205"/>
      <c r="F32" s="205"/>
      <c r="G32" s="198"/>
      <c r="H32" s="251"/>
    </row>
    <row r="33" spans="1:9" ht="15.75" x14ac:dyDescent="0.25">
      <c r="A33" s="174" t="s">
        <v>61</v>
      </c>
      <c r="B33" s="176" t="s">
        <v>159</v>
      </c>
      <c r="C33" s="176"/>
      <c r="D33" s="205"/>
      <c r="E33" s="205"/>
      <c r="F33" s="205"/>
      <c r="G33" s="198"/>
      <c r="H33" s="251"/>
    </row>
    <row r="34" spans="1:9" ht="15.75" x14ac:dyDescent="0.25">
      <c r="A34" s="174" t="s">
        <v>43</v>
      </c>
      <c r="B34" s="176" t="s">
        <v>155</v>
      </c>
      <c r="C34" s="176"/>
      <c r="D34" s="205"/>
      <c r="E34" s="205"/>
      <c r="F34" s="205"/>
      <c r="G34" s="198"/>
      <c r="H34" s="251"/>
    </row>
    <row r="35" spans="1:9" ht="15.75" x14ac:dyDescent="0.25">
      <c r="A35" s="174" t="s">
        <v>161</v>
      </c>
      <c r="B35" s="175" t="s">
        <v>160</v>
      </c>
      <c r="C35" s="175"/>
      <c r="D35" s="205"/>
      <c r="E35" s="205"/>
      <c r="F35" s="205"/>
      <c r="G35" s="198"/>
      <c r="H35" s="251"/>
    </row>
    <row r="36" spans="1:9" ht="15.75" x14ac:dyDescent="0.25">
      <c r="A36" s="174" t="s">
        <v>165</v>
      </c>
      <c r="B36" s="175" t="s">
        <v>162</v>
      </c>
      <c r="C36" s="175"/>
      <c r="D36" s="205"/>
      <c r="E36" s="205"/>
      <c r="F36" s="205"/>
      <c r="G36" s="198"/>
      <c r="H36" s="251"/>
    </row>
    <row r="37" spans="1:9" ht="15.75" x14ac:dyDescent="0.25">
      <c r="A37" s="174" t="s">
        <v>166</v>
      </c>
      <c r="B37" s="176" t="s">
        <v>44</v>
      </c>
      <c r="C37" s="176"/>
      <c r="D37" s="176"/>
      <c r="E37" s="176"/>
      <c r="F37" s="198"/>
      <c r="G37" s="198"/>
      <c r="H37" s="198">
        <v>0</v>
      </c>
    </row>
    <row r="38" spans="1:9" ht="15.75" x14ac:dyDescent="0.25">
      <c r="A38" s="252"/>
      <c r="B38" s="184" t="s">
        <v>45</v>
      </c>
      <c r="C38" s="184"/>
      <c r="D38" s="185"/>
      <c r="E38" s="185"/>
      <c r="F38" s="186"/>
      <c r="G38" s="186"/>
      <c r="H38" s="187">
        <f>SUM(H27:H37)</f>
        <v>1310.0899999999999</v>
      </c>
    </row>
    <row r="39" spans="1:9" ht="15.75" x14ac:dyDescent="0.25">
      <c r="A39" s="172">
        <v>2</v>
      </c>
      <c r="B39" s="300" t="s">
        <v>46</v>
      </c>
      <c r="C39" s="300"/>
      <c r="D39" s="300"/>
      <c r="E39" s="300"/>
      <c r="F39" s="300"/>
      <c r="G39" s="300"/>
      <c r="H39" s="300"/>
    </row>
    <row r="40" spans="1:9" ht="15.75" x14ac:dyDescent="0.25">
      <c r="A40" s="173" t="s">
        <v>47</v>
      </c>
      <c r="B40" s="301" t="s">
        <v>48</v>
      </c>
      <c r="C40" s="301"/>
      <c r="D40" s="301"/>
      <c r="E40" s="301"/>
      <c r="F40" s="301"/>
      <c r="G40" s="301"/>
      <c r="H40" s="301"/>
    </row>
    <row r="41" spans="1:9" ht="15.75" x14ac:dyDescent="0.25">
      <c r="A41" s="174" t="s">
        <v>4</v>
      </c>
      <c r="B41" s="175" t="s">
        <v>49</v>
      </c>
      <c r="C41" s="175"/>
      <c r="D41" s="175"/>
      <c r="E41" s="176"/>
      <c r="F41" s="177"/>
      <c r="G41" s="178">
        <v>8.3299999999999999E-2</v>
      </c>
      <c r="H41" s="177">
        <f>SUM($H$38*G41)</f>
        <v>109.13049699999999</v>
      </c>
    </row>
    <row r="42" spans="1:9" ht="15.75" x14ac:dyDescent="0.25">
      <c r="A42" s="174" t="s">
        <v>7</v>
      </c>
      <c r="B42" s="176" t="s">
        <v>50</v>
      </c>
      <c r="C42" s="176"/>
      <c r="D42" s="176"/>
      <c r="E42" s="176"/>
      <c r="F42" s="179"/>
      <c r="G42" s="180">
        <v>0.121</v>
      </c>
      <c r="H42" s="177">
        <f>SUM($H$38*G42)</f>
        <v>158.52088999999998</v>
      </c>
    </row>
    <row r="43" spans="1:9" ht="15.75" x14ac:dyDescent="0.25">
      <c r="A43" s="1" t="s">
        <v>9</v>
      </c>
      <c r="B43" s="48" t="s">
        <v>51</v>
      </c>
      <c r="C43" s="181"/>
      <c r="D43" s="176"/>
      <c r="E43" s="176"/>
      <c r="F43" s="179"/>
      <c r="G43" s="180">
        <f>SUM(G41:G42)*G54</f>
        <v>7.518240000000001E-2</v>
      </c>
      <c r="H43" s="177">
        <f>SUM($H$38*G43)</f>
        <v>98.495710416000009</v>
      </c>
    </row>
    <row r="44" spans="1:9" ht="15.75" x14ac:dyDescent="0.25">
      <c r="A44" s="182"/>
      <c r="B44" s="183" t="s">
        <v>45</v>
      </c>
      <c r="C44" s="184"/>
      <c r="D44" s="185"/>
      <c r="E44" s="185"/>
      <c r="F44" s="186"/>
      <c r="G44" s="186"/>
      <c r="H44" s="187">
        <f>SUM(H41:H43)</f>
        <v>366.14709741600001</v>
      </c>
    </row>
    <row r="45" spans="1:9" ht="15.75" x14ac:dyDescent="0.25">
      <c r="A45" s="188" t="s">
        <v>52</v>
      </c>
      <c r="B45" s="295" t="s">
        <v>53</v>
      </c>
      <c r="C45" s="295"/>
      <c r="D45" s="295"/>
      <c r="E45" s="295"/>
      <c r="F45" s="295"/>
      <c r="G45" s="295"/>
      <c r="H45" s="295"/>
    </row>
    <row r="46" spans="1:9" ht="15.75" x14ac:dyDescent="0.25">
      <c r="A46" s="174" t="s">
        <v>4</v>
      </c>
      <c r="B46" s="181" t="s">
        <v>54</v>
      </c>
      <c r="C46" s="181"/>
      <c r="D46" s="176"/>
      <c r="E46" s="176"/>
      <c r="F46" s="177"/>
      <c r="G46" s="178">
        <v>0.2</v>
      </c>
      <c r="H46" s="177">
        <f>SUM($H$38*G46)</f>
        <v>262.01799999999997</v>
      </c>
    </row>
    <row r="47" spans="1:9" ht="15.75" x14ac:dyDescent="0.25">
      <c r="A47" s="174" t="s">
        <v>7</v>
      </c>
      <c r="B47" s="181" t="s">
        <v>55</v>
      </c>
      <c r="C47" s="181"/>
      <c r="D47" s="299" t="s">
        <v>56</v>
      </c>
      <c r="E47" s="299"/>
      <c r="F47" s="177"/>
      <c r="G47" s="162">
        <v>1.4999999999999999E-2</v>
      </c>
      <c r="H47" s="177">
        <f t="shared" ref="H47:H53" si="0">SUM($H$38*G47)</f>
        <v>19.651349999999997</v>
      </c>
      <c r="I47" s="115"/>
    </row>
    <row r="48" spans="1:9" ht="15.75" x14ac:dyDescent="0.25">
      <c r="A48" s="174" t="s">
        <v>9</v>
      </c>
      <c r="B48" s="181" t="s">
        <v>57</v>
      </c>
      <c r="C48" s="181"/>
      <c r="D48" s="299"/>
      <c r="E48" s="299"/>
      <c r="F48" s="177"/>
      <c r="G48" s="162">
        <v>0.01</v>
      </c>
      <c r="H48" s="177">
        <f t="shared" si="0"/>
        <v>13.100899999999999</v>
      </c>
    </row>
    <row r="49" spans="1:13" ht="15.75" x14ac:dyDescent="0.25">
      <c r="A49" s="174" t="s">
        <v>17</v>
      </c>
      <c r="B49" s="181" t="s">
        <v>58</v>
      </c>
      <c r="C49" s="181"/>
      <c r="D49" s="176"/>
      <c r="E49" s="176"/>
      <c r="F49" s="177"/>
      <c r="G49" s="162">
        <v>2E-3</v>
      </c>
      <c r="H49" s="177">
        <f t="shared" si="0"/>
        <v>2.62018</v>
      </c>
    </row>
    <row r="50" spans="1:13" ht="15.75" x14ac:dyDescent="0.25">
      <c r="A50" s="174" t="s">
        <v>40</v>
      </c>
      <c r="B50" s="181" t="s">
        <v>59</v>
      </c>
      <c r="C50" s="181"/>
      <c r="D50" s="176"/>
      <c r="E50" s="176"/>
      <c r="F50" s="177"/>
      <c r="G50" s="162">
        <v>2.5000000000000001E-2</v>
      </c>
      <c r="H50" s="177">
        <f>SUM($H$38*G50)</f>
        <v>32.752249999999997</v>
      </c>
    </row>
    <row r="51" spans="1:13" ht="15.75" x14ac:dyDescent="0.25">
      <c r="A51" s="174" t="s">
        <v>42</v>
      </c>
      <c r="B51" s="181" t="s">
        <v>60</v>
      </c>
      <c r="C51" s="181"/>
      <c r="D51" s="176"/>
      <c r="E51" s="176"/>
      <c r="F51" s="177"/>
      <c r="G51" s="178">
        <v>0.08</v>
      </c>
      <c r="H51" s="177">
        <f t="shared" si="0"/>
        <v>104.80719999999999</v>
      </c>
    </row>
    <row r="52" spans="1:13" ht="15.75" x14ac:dyDescent="0.25">
      <c r="A52" s="189" t="s">
        <v>61</v>
      </c>
      <c r="B52" s="190" t="s">
        <v>62</v>
      </c>
      <c r="C52" s="190"/>
      <c r="D52" s="191"/>
      <c r="E52" s="191"/>
      <c r="F52" s="191"/>
      <c r="G52" s="163">
        <v>0.03</v>
      </c>
      <c r="H52" s="192">
        <f t="shared" si="0"/>
        <v>39.302699999999994</v>
      </c>
    </row>
    <row r="53" spans="1:13" ht="15.75" x14ac:dyDescent="0.25">
      <c r="A53" s="174" t="s">
        <v>43</v>
      </c>
      <c r="B53" s="181" t="s">
        <v>63</v>
      </c>
      <c r="C53" s="181"/>
      <c r="D53" s="176"/>
      <c r="E53" s="176"/>
      <c r="F53" s="177"/>
      <c r="G53" s="162">
        <v>6.0000000000000001E-3</v>
      </c>
      <c r="H53" s="177">
        <f t="shared" si="0"/>
        <v>7.8605399999999994</v>
      </c>
      <c r="I53" s="121"/>
    </row>
    <row r="54" spans="1:13" ht="15.75" x14ac:dyDescent="0.25">
      <c r="A54" s="183"/>
      <c r="B54" s="184" t="s">
        <v>45</v>
      </c>
      <c r="C54" s="184"/>
      <c r="D54" s="184"/>
      <c r="E54" s="184"/>
      <c r="F54" s="193"/>
      <c r="G54" s="194">
        <f>SUM(G46:G53)</f>
        <v>0.3680000000000001</v>
      </c>
      <c r="H54" s="195">
        <f>SUM(H46:H53)</f>
        <v>482.11312000000004</v>
      </c>
    </row>
    <row r="55" spans="1:13" ht="15.75" x14ac:dyDescent="0.25">
      <c r="A55" s="188" t="s">
        <v>64</v>
      </c>
      <c r="B55" s="295" t="s">
        <v>65</v>
      </c>
      <c r="C55" s="295"/>
      <c r="D55" s="295"/>
      <c r="E55" s="295"/>
      <c r="F55" s="295"/>
      <c r="G55" s="295"/>
      <c r="H55" s="295"/>
    </row>
    <row r="56" spans="1:13" ht="15.75" x14ac:dyDescent="0.25">
      <c r="A56" s="176" t="s">
        <v>66</v>
      </c>
      <c r="B56" s="196"/>
      <c r="C56" s="196"/>
      <c r="D56" s="197" t="s">
        <v>67</v>
      </c>
      <c r="E56" s="197" t="s">
        <v>68</v>
      </c>
      <c r="F56" s="197" t="s">
        <v>69</v>
      </c>
      <c r="G56" s="197" t="s">
        <v>70</v>
      </c>
      <c r="H56" s="176"/>
    </row>
    <row r="57" spans="1:13" ht="15.75" x14ac:dyDescent="0.25">
      <c r="A57" s="302" t="s">
        <v>4</v>
      </c>
      <c r="B57" s="176" t="s">
        <v>71</v>
      </c>
      <c r="C57" s="176"/>
      <c r="D57" s="296"/>
      <c r="E57" s="297"/>
      <c r="F57" s="298"/>
      <c r="G57" s="303"/>
      <c r="H57" s="198">
        <f>F57*E57*D57</f>
        <v>0</v>
      </c>
      <c r="I57" t="s">
        <v>257</v>
      </c>
    </row>
    <row r="58" spans="1:13" ht="15.75" x14ac:dyDescent="0.25">
      <c r="A58" s="302"/>
      <c r="B58" s="176" t="s">
        <v>72</v>
      </c>
      <c r="C58" s="176"/>
      <c r="D58" s="296"/>
      <c r="E58" s="296"/>
      <c r="F58" s="296"/>
      <c r="G58" s="296"/>
      <c r="H58" s="198">
        <f>H27*G57</f>
        <v>0</v>
      </c>
    </row>
    <row r="59" spans="1:13" ht="15.75" x14ac:dyDescent="0.25">
      <c r="A59" s="302"/>
      <c r="B59" s="175" t="s">
        <v>73</v>
      </c>
      <c r="C59" s="175"/>
      <c r="D59" s="175"/>
      <c r="E59" s="176"/>
      <c r="F59" s="176"/>
      <c r="G59" s="199"/>
      <c r="H59" s="198">
        <f>H57-H58</f>
        <v>0</v>
      </c>
    </row>
    <row r="60" spans="1:13" ht="15.75" x14ac:dyDescent="0.25">
      <c r="A60" s="302" t="s">
        <v>7</v>
      </c>
      <c r="B60" s="176" t="s">
        <v>74</v>
      </c>
      <c r="C60" s="176"/>
      <c r="D60" s="296">
        <v>1</v>
      </c>
      <c r="E60" s="297">
        <v>1</v>
      </c>
      <c r="F60" s="298">
        <v>175.25</v>
      </c>
      <c r="G60" s="303">
        <v>0.2</v>
      </c>
      <c r="H60" s="198">
        <f>F60*E60*D60</f>
        <v>175.25</v>
      </c>
    </row>
    <row r="61" spans="1:13" ht="15.75" x14ac:dyDescent="0.25">
      <c r="A61" s="302"/>
      <c r="B61" s="176" t="s">
        <v>72</v>
      </c>
      <c r="C61" s="176"/>
      <c r="D61" s="296"/>
      <c r="E61" s="296"/>
      <c r="F61" s="296"/>
      <c r="G61" s="296"/>
      <c r="H61" s="198">
        <f>H60*G60</f>
        <v>35.050000000000004</v>
      </c>
    </row>
    <row r="62" spans="1:13" ht="15.75" x14ac:dyDescent="0.25">
      <c r="A62" s="302"/>
      <c r="B62" s="304" t="s">
        <v>75</v>
      </c>
      <c r="C62" s="304"/>
      <c r="D62" s="304"/>
      <c r="E62" s="304"/>
      <c r="F62" s="200"/>
      <c r="G62" s="200"/>
      <c r="H62" s="198">
        <f>H60-H61</f>
        <v>140.19999999999999</v>
      </c>
    </row>
    <row r="63" spans="1:13" ht="15.75" x14ac:dyDescent="0.25">
      <c r="A63" s="201" t="s">
        <v>9</v>
      </c>
      <c r="B63" s="304" t="s">
        <v>267</v>
      </c>
      <c r="C63" s="304"/>
      <c r="D63" s="304"/>
      <c r="E63" s="304"/>
      <c r="F63" s="200"/>
      <c r="G63" s="200"/>
      <c r="H63" s="198">
        <v>100</v>
      </c>
    </row>
    <row r="64" spans="1:13" ht="15.75" x14ac:dyDescent="0.25">
      <c r="A64" s="201" t="s">
        <v>17</v>
      </c>
      <c r="B64" s="202" t="s">
        <v>251</v>
      </c>
      <c r="C64" s="202"/>
      <c r="D64" s="202"/>
      <c r="E64" s="202" t="s">
        <v>163</v>
      </c>
      <c r="F64" s="200"/>
      <c r="G64" s="200"/>
      <c r="H64" s="198">
        <v>11</v>
      </c>
      <c r="J64" s="125"/>
      <c r="K64" s="13"/>
      <c r="L64" s="13"/>
      <c r="M64" s="35">
        <v>0</v>
      </c>
    </row>
    <row r="65" spans="1:13" ht="15.75" x14ac:dyDescent="0.25">
      <c r="A65" s="201" t="s">
        <v>40</v>
      </c>
      <c r="B65" s="203" t="s">
        <v>224</v>
      </c>
      <c r="C65" s="202"/>
      <c r="D65" s="202"/>
      <c r="E65" s="202"/>
      <c r="F65" s="200"/>
      <c r="G65" s="200"/>
      <c r="H65" s="198">
        <v>4.0599999999999996</v>
      </c>
      <c r="J65" s="148"/>
      <c r="K65" s="13"/>
      <c r="L65" s="13"/>
      <c r="M65" s="35"/>
    </row>
    <row r="66" spans="1:13" ht="15.75" x14ac:dyDescent="0.25">
      <c r="A66" s="201" t="s">
        <v>42</v>
      </c>
      <c r="B66" s="203" t="s">
        <v>266</v>
      </c>
      <c r="C66" s="203"/>
      <c r="D66" s="203"/>
      <c r="E66" s="204">
        <v>0</v>
      </c>
      <c r="F66" s="205"/>
      <c r="G66" s="205"/>
      <c r="H66" s="198">
        <v>0</v>
      </c>
    </row>
    <row r="67" spans="1:13" ht="15.75" x14ac:dyDescent="0.25">
      <c r="A67" s="206"/>
      <c r="B67" s="305" t="s">
        <v>45</v>
      </c>
      <c r="C67" s="305"/>
      <c r="D67" s="305"/>
      <c r="E67" s="305"/>
      <c r="F67" s="207"/>
      <c r="G67" s="207"/>
      <c r="H67" s="208">
        <f>H59+H62+H63+H64+H65+H66</f>
        <v>255.26</v>
      </c>
    </row>
    <row r="68" spans="1:13" ht="15.75" x14ac:dyDescent="0.25">
      <c r="A68" s="295" t="s">
        <v>79</v>
      </c>
      <c r="B68" s="295"/>
      <c r="C68" s="295"/>
      <c r="D68" s="295"/>
      <c r="E68" s="295"/>
      <c r="F68" s="295"/>
      <c r="G68" s="295"/>
      <c r="H68" s="295"/>
    </row>
    <row r="69" spans="1:13" ht="15.75" x14ac:dyDescent="0.25">
      <c r="A69" s="201" t="s">
        <v>47</v>
      </c>
      <c r="B69" s="175" t="s">
        <v>80</v>
      </c>
      <c r="C69" s="175"/>
      <c r="D69" s="209"/>
      <c r="E69" s="209"/>
      <c r="F69" s="200"/>
      <c r="G69" s="200"/>
      <c r="H69" s="210">
        <f>H44</f>
        <v>366.14709741600001</v>
      </c>
    </row>
    <row r="70" spans="1:13" ht="15.75" x14ac:dyDescent="0.25">
      <c r="A70" s="201" t="s">
        <v>52</v>
      </c>
      <c r="B70" s="175" t="s">
        <v>81</v>
      </c>
      <c r="C70" s="175"/>
      <c r="D70" s="209"/>
      <c r="E70" s="209"/>
      <c r="F70" s="200"/>
      <c r="G70" s="200"/>
      <c r="H70" s="210">
        <f>H54</f>
        <v>482.11312000000004</v>
      </c>
    </row>
    <row r="71" spans="1:13" ht="15.75" x14ac:dyDescent="0.25">
      <c r="A71" s="201" t="s">
        <v>64</v>
      </c>
      <c r="B71" s="175" t="s">
        <v>82</v>
      </c>
      <c r="C71" s="175"/>
      <c r="D71" s="209"/>
      <c r="E71" s="209"/>
      <c r="F71" s="200"/>
      <c r="G71" s="200"/>
      <c r="H71" s="210">
        <f>H67</f>
        <v>255.26</v>
      </c>
    </row>
    <row r="72" spans="1:13" ht="15.75" x14ac:dyDescent="0.25">
      <c r="A72" s="206"/>
      <c r="B72" s="211" t="s">
        <v>45</v>
      </c>
      <c r="C72" s="211"/>
      <c r="D72" s="211"/>
      <c r="E72" s="211"/>
      <c r="F72" s="207"/>
      <c r="G72" s="207"/>
      <c r="H72" s="208">
        <f>SUM(H69:H71)</f>
        <v>1103.5202174159999</v>
      </c>
    </row>
    <row r="73" spans="1:13" ht="15.75" x14ac:dyDescent="0.25">
      <c r="A73" s="212">
        <v>3</v>
      </c>
      <c r="B73" s="295" t="s">
        <v>83</v>
      </c>
      <c r="C73" s="295"/>
      <c r="D73" s="295"/>
      <c r="E73" s="295"/>
      <c r="F73" s="295"/>
      <c r="G73" s="295"/>
      <c r="H73" s="295"/>
    </row>
    <row r="74" spans="1:13" ht="15.75" x14ac:dyDescent="0.25">
      <c r="A74" s="174" t="s">
        <v>4</v>
      </c>
      <c r="B74" s="181" t="s">
        <v>84</v>
      </c>
      <c r="C74" s="181"/>
      <c r="D74" s="213"/>
      <c r="E74" s="213"/>
      <c r="F74" s="213"/>
      <c r="G74" s="178">
        <f>1/12*5%</f>
        <v>4.1666666666666666E-3</v>
      </c>
      <c r="H74" s="177">
        <f>SUM($H$38*G74)</f>
        <v>5.4587083333333331</v>
      </c>
      <c r="I74" s="115"/>
    </row>
    <row r="75" spans="1:13" ht="15.75" x14ac:dyDescent="0.25">
      <c r="A75" s="174" t="s">
        <v>7</v>
      </c>
      <c r="B75" s="181" t="s">
        <v>85</v>
      </c>
      <c r="C75" s="181"/>
      <c r="D75" s="176"/>
      <c r="E75" s="176"/>
      <c r="F75" s="177"/>
      <c r="G75" s="178">
        <f>G74*0.08</f>
        <v>3.3333333333333332E-4</v>
      </c>
      <c r="H75" s="177">
        <f>SUM($H$38*G75)</f>
        <v>0.43669666666666662</v>
      </c>
    </row>
    <row r="76" spans="1:13" ht="15.75" x14ac:dyDescent="0.25">
      <c r="A76" s="174" t="s">
        <v>9</v>
      </c>
      <c r="B76" s="181" t="s">
        <v>86</v>
      </c>
      <c r="C76" s="181"/>
      <c r="D76" s="214"/>
      <c r="E76" s="214"/>
      <c r="F76" s="214"/>
      <c r="G76" s="164">
        <f>(0.08*0.4*0.9)*(1+0.0833+0.121)</f>
        <v>3.4683840000000001E-2</v>
      </c>
      <c r="H76" s="215">
        <f>(ROUND(SUM($H$38*G76),2))</f>
        <v>45.44</v>
      </c>
    </row>
    <row r="77" spans="1:13" ht="15.75" x14ac:dyDescent="0.25">
      <c r="A77" s="174" t="s">
        <v>17</v>
      </c>
      <c r="B77" s="176" t="s">
        <v>87</v>
      </c>
      <c r="C77" s="176"/>
      <c r="D77" s="213"/>
      <c r="E77" s="213"/>
      <c r="F77" s="213"/>
      <c r="G77" s="178">
        <v>1.9400000000000001E-2</v>
      </c>
      <c r="H77" s="177">
        <f>SUM($H$38*G77)</f>
        <v>25.415745999999999</v>
      </c>
      <c r="I77" s="115"/>
    </row>
    <row r="78" spans="1:13" ht="15.75" x14ac:dyDescent="0.25">
      <c r="A78" s="174" t="s">
        <v>40</v>
      </c>
      <c r="B78" s="181" t="s">
        <v>226</v>
      </c>
      <c r="C78" s="181"/>
      <c r="D78" s="176"/>
      <c r="E78" s="176"/>
      <c r="F78" s="177"/>
      <c r="G78" s="178">
        <f>G77*G54</f>
        <v>7.1392000000000027E-3</v>
      </c>
      <c r="H78" s="177">
        <f>SUM($H$38*G78)</f>
        <v>9.3529945280000035</v>
      </c>
    </row>
    <row r="79" spans="1:13" ht="15.75" x14ac:dyDescent="0.25">
      <c r="A79" s="174" t="s">
        <v>42</v>
      </c>
      <c r="B79" s="176" t="s">
        <v>89</v>
      </c>
      <c r="C79" s="176"/>
      <c r="D79" s="214"/>
      <c r="E79" s="214"/>
      <c r="F79" s="214"/>
      <c r="G79" s="162">
        <f>4%-G76</f>
        <v>5.3161600000000003E-3</v>
      </c>
      <c r="H79" s="177">
        <f>SUM($H$38*G79)</f>
        <v>6.9646480543999996</v>
      </c>
    </row>
    <row r="80" spans="1:13" ht="15.75" x14ac:dyDescent="0.25">
      <c r="A80" s="216"/>
      <c r="B80" s="184" t="s">
        <v>45</v>
      </c>
      <c r="C80" s="184"/>
      <c r="D80" s="185"/>
      <c r="E80" s="185"/>
      <c r="F80" s="217"/>
      <c r="G80" s="194">
        <f>SUM(G74:G79)</f>
        <v>7.1039199999999997E-2</v>
      </c>
      <c r="H80" s="195">
        <f>SUM(H74:H79)</f>
        <v>93.068793582400005</v>
      </c>
    </row>
    <row r="81" spans="1:9" ht="15.75" x14ac:dyDescent="0.25">
      <c r="A81" s="172">
        <v>4</v>
      </c>
      <c r="B81" s="306" t="s">
        <v>90</v>
      </c>
      <c r="C81" s="306"/>
      <c r="D81" s="306"/>
      <c r="E81" s="306"/>
      <c r="F81" s="306"/>
      <c r="G81" s="306"/>
      <c r="H81" s="306"/>
    </row>
    <row r="82" spans="1:9" ht="15.75" x14ac:dyDescent="0.25">
      <c r="A82" s="218" t="s">
        <v>91</v>
      </c>
      <c r="B82" s="295" t="s">
        <v>237</v>
      </c>
      <c r="C82" s="295"/>
      <c r="D82" s="295"/>
      <c r="E82" s="295"/>
      <c r="F82" s="295"/>
      <c r="G82" s="295"/>
      <c r="H82" s="295"/>
    </row>
    <row r="83" spans="1:9" ht="15.75" x14ac:dyDescent="0.25">
      <c r="A83" s="174" t="s">
        <v>4</v>
      </c>
      <c r="B83" s="181" t="s">
        <v>227</v>
      </c>
      <c r="C83" s="181"/>
      <c r="D83" s="213"/>
      <c r="E83" s="213"/>
      <c r="F83" s="213"/>
      <c r="G83" s="178"/>
      <c r="H83" s="177"/>
    </row>
    <row r="84" spans="1:9" ht="15.75" x14ac:dyDescent="0.25">
      <c r="A84" s="219" t="s">
        <v>7</v>
      </c>
      <c r="B84" s="181" t="s">
        <v>228</v>
      </c>
      <c r="C84" s="307" t="s">
        <v>95</v>
      </c>
      <c r="D84" s="167">
        <v>5.96</v>
      </c>
      <c r="E84" s="307" t="s">
        <v>96</v>
      </c>
      <c r="F84" s="169">
        <v>1</v>
      </c>
      <c r="G84" s="178">
        <f t="shared" ref="G84:G89" si="1">D84/360*F84</f>
        <v>1.6555555555555556E-2</v>
      </c>
      <c r="H84" s="177">
        <f t="shared" ref="H84:H88" si="2">SUM(H$38*G84)</f>
        <v>21.689267777777776</v>
      </c>
    </row>
    <row r="85" spans="1:9" ht="15.75" x14ac:dyDescent="0.25">
      <c r="A85" s="174" t="s">
        <v>9</v>
      </c>
      <c r="B85" s="181" t="s">
        <v>229</v>
      </c>
      <c r="C85" s="307"/>
      <c r="D85" s="167">
        <v>5</v>
      </c>
      <c r="E85" s="307"/>
      <c r="F85" s="169">
        <v>1.4999999999999999E-2</v>
      </c>
      <c r="G85" s="178">
        <f t="shared" si="1"/>
        <v>2.0833333333333332E-4</v>
      </c>
      <c r="H85" s="177">
        <f t="shared" si="2"/>
        <v>0.27293541666666665</v>
      </c>
    </row>
    <row r="86" spans="1:9" ht="15.75" x14ac:dyDescent="0.25">
      <c r="A86" s="174" t="s">
        <v>17</v>
      </c>
      <c r="B86" s="181" t="s">
        <v>230</v>
      </c>
      <c r="C86" s="307"/>
      <c r="D86" s="167">
        <v>15</v>
      </c>
      <c r="E86" s="307"/>
      <c r="F86" s="170">
        <v>7.7999999999999996E-3</v>
      </c>
      <c r="G86" s="178">
        <f t="shared" si="1"/>
        <v>3.2499999999999999E-4</v>
      </c>
      <c r="H86" s="177">
        <f t="shared" si="2"/>
        <v>0.42577924999999994</v>
      </c>
    </row>
    <row r="87" spans="1:9" ht="15.75" x14ac:dyDescent="0.25">
      <c r="A87" s="174" t="s">
        <v>40</v>
      </c>
      <c r="B87" s="181" t="s">
        <v>231</v>
      </c>
      <c r="C87" s="307"/>
      <c r="D87" s="167">
        <v>120</v>
      </c>
      <c r="E87" s="307"/>
      <c r="F87" s="169">
        <v>1.8599999999999998E-2</v>
      </c>
      <c r="G87" s="178">
        <v>5.9999999999999995E-4</v>
      </c>
      <c r="H87" s="177">
        <f t="shared" si="2"/>
        <v>0.78605399999999992</v>
      </c>
    </row>
    <row r="88" spans="1:9" ht="15.75" x14ac:dyDescent="0.25">
      <c r="A88" s="174" t="s">
        <v>42</v>
      </c>
      <c r="B88" s="181" t="s">
        <v>101</v>
      </c>
      <c r="C88" s="307"/>
      <c r="D88" s="168"/>
      <c r="E88" s="307"/>
      <c r="F88" s="171"/>
      <c r="G88" s="178">
        <f t="shared" si="1"/>
        <v>0</v>
      </c>
      <c r="H88" s="220">
        <f t="shared" si="2"/>
        <v>0</v>
      </c>
    </row>
    <row r="89" spans="1:9" ht="15.75" x14ac:dyDescent="0.25">
      <c r="A89" s="174" t="s">
        <v>61</v>
      </c>
      <c r="B89" s="181"/>
      <c r="C89" s="307"/>
      <c r="D89" s="168"/>
      <c r="E89" s="307"/>
      <c r="F89" s="221"/>
      <c r="G89" s="178">
        <f t="shared" si="1"/>
        <v>0</v>
      </c>
      <c r="H89" s="220"/>
    </row>
    <row r="90" spans="1:9" ht="15.75" x14ac:dyDescent="0.25">
      <c r="A90" s="200"/>
      <c r="B90" s="176" t="s">
        <v>102</v>
      </c>
      <c r="C90" s="176"/>
      <c r="D90" s="176"/>
      <c r="E90" s="176"/>
      <c r="F90" s="177"/>
      <c r="G90" s="178">
        <f>SUM(G83:G89)</f>
        <v>1.7688888888888889E-2</v>
      </c>
      <c r="H90" s="177">
        <f>SUM(H83:H89)</f>
        <v>23.174036444444443</v>
      </c>
      <c r="I90" s="115"/>
    </row>
    <row r="91" spans="1:9" ht="15.75" x14ac:dyDescent="0.25">
      <c r="A91" s="174" t="s">
        <v>42</v>
      </c>
      <c r="B91" s="181" t="s">
        <v>103</v>
      </c>
      <c r="C91" s="181"/>
      <c r="D91" s="176"/>
      <c r="E91" s="176"/>
      <c r="F91" s="177"/>
      <c r="G91" s="178">
        <v>0</v>
      </c>
      <c r="H91" s="177">
        <v>0</v>
      </c>
    </row>
    <row r="92" spans="1:9" ht="15.75" x14ac:dyDescent="0.25">
      <c r="A92" s="216"/>
      <c r="B92" s="184" t="s">
        <v>45</v>
      </c>
      <c r="C92" s="184"/>
      <c r="D92" s="185"/>
      <c r="E92" s="185"/>
      <c r="F92" s="217"/>
      <c r="G92" s="194">
        <f>G91+G90</f>
        <v>1.7688888888888889E-2</v>
      </c>
      <c r="H92" s="195">
        <f>SUM(H90:H91)</f>
        <v>23.174036444444443</v>
      </c>
    </row>
    <row r="93" spans="1:9" ht="15.75" x14ac:dyDescent="0.25">
      <c r="A93" s="218" t="s">
        <v>104</v>
      </c>
      <c r="B93" s="295" t="s">
        <v>233</v>
      </c>
      <c r="C93" s="295"/>
      <c r="D93" s="295"/>
      <c r="E93" s="295"/>
      <c r="F93" s="295"/>
      <c r="G93" s="295"/>
      <c r="H93" s="295"/>
    </row>
    <row r="94" spans="1:9" ht="15.75" x14ac:dyDescent="0.25">
      <c r="A94" s="174" t="s">
        <v>4</v>
      </c>
      <c r="B94" s="181" t="s">
        <v>235</v>
      </c>
      <c r="C94" s="181"/>
      <c r="D94" s="213"/>
      <c r="E94" s="213"/>
      <c r="F94" s="213"/>
      <c r="G94" s="162">
        <v>0</v>
      </c>
      <c r="H94" s="177">
        <f>SUM(H$38*G94)</f>
        <v>0</v>
      </c>
    </row>
    <row r="95" spans="1:9" ht="15.75" x14ac:dyDescent="0.25">
      <c r="A95" s="174" t="s">
        <v>7</v>
      </c>
      <c r="B95" s="181" t="s">
        <v>107</v>
      </c>
      <c r="C95" s="181"/>
      <c r="D95" s="213"/>
      <c r="E95" s="213"/>
      <c r="F95" s="213"/>
      <c r="G95" s="178">
        <f>G94*G54</f>
        <v>0</v>
      </c>
      <c r="H95" s="177">
        <f>SUM($H$38*G95)</f>
        <v>0</v>
      </c>
    </row>
    <row r="96" spans="1:9" ht="15.75" x14ac:dyDescent="0.25">
      <c r="A96" s="216"/>
      <c r="B96" s="184" t="s">
        <v>45</v>
      </c>
      <c r="C96" s="184"/>
      <c r="D96" s="185"/>
      <c r="E96" s="185"/>
      <c r="F96" s="217"/>
      <c r="G96" s="194">
        <f>G95+G94</f>
        <v>0</v>
      </c>
      <c r="H96" s="195">
        <f>SUM(H94:H95)</f>
        <v>0</v>
      </c>
    </row>
    <row r="97" spans="1:10" ht="15.75" x14ac:dyDescent="0.25">
      <c r="A97" s="295" t="s">
        <v>108</v>
      </c>
      <c r="B97" s="295"/>
      <c r="C97" s="295"/>
      <c r="D97" s="295"/>
      <c r="E97" s="295"/>
      <c r="F97" s="295"/>
      <c r="G97" s="295"/>
      <c r="H97" s="295"/>
    </row>
    <row r="98" spans="1:10" ht="15.75" x14ac:dyDescent="0.25">
      <c r="A98" s="174" t="s">
        <v>91</v>
      </c>
      <c r="B98" s="181" t="s">
        <v>236</v>
      </c>
      <c r="C98" s="181"/>
      <c r="D98" s="213"/>
      <c r="E98" s="213"/>
      <c r="F98" s="213"/>
      <c r="G98" s="178">
        <f>G92</f>
        <v>1.7688888888888889E-2</v>
      </c>
      <c r="H98" s="177">
        <f>H92</f>
        <v>23.174036444444443</v>
      </c>
    </row>
    <row r="99" spans="1:10" ht="15.75" x14ac:dyDescent="0.25">
      <c r="A99" s="174" t="s">
        <v>104</v>
      </c>
      <c r="B99" s="181" t="s">
        <v>234</v>
      </c>
      <c r="C99" s="181"/>
      <c r="D99" s="213"/>
      <c r="E99" s="213"/>
      <c r="F99" s="213"/>
      <c r="G99" s="178">
        <f>G96</f>
        <v>0</v>
      </c>
      <c r="H99" s="177">
        <f>H96</f>
        <v>0</v>
      </c>
    </row>
    <row r="100" spans="1:10" ht="15.75" x14ac:dyDescent="0.25">
      <c r="A100" s="216"/>
      <c r="B100" s="184" t="s">
        <v>45</v>
      </c>
      <c r="C100" s="184"/>
      <c r="D100" s="185"/>
      <c r="E100" s="185"/>
      <c r="F100" s="217"/>
      <c r="G100" s="194">
        <f>G96+G92</f>
        <v>1.7688888888888889E-2</v>
      </c>
      <c r="H100" s="195">
        <f>SUM(H98:H99)</f>
        <v>23.174036444444443</v>
      </c>
    </row>
    <row r="101" spans="1:10" ht="15.75" x14ac:dyDescent="0.25">
      <c r="A101" s="218">
        <v>5</v>
      </c>
      <c r="B101" s="295" t="s">
        <v>110</v>
      </c>
      <c r="C101" s="295"/>
      <c r="D101" s="295"/>
      <c r="E101" s="295"/>
      <c r="F101" s="295"/>
      <c r="G101" s="295"/>
      <c r="H101" s="295"/>
    </row>
    <row r="102" spans="1:10" ht="15.75" x14ac:dyDescent="0.25">
      <c r="A102" s="174" t="s">
        <v>4</v>
      </c>
      <c r="B102" s="200" t="s">
        <v>111</v>
      </c>
      <c r="C102" s="200"/>
      <c r="D102" s="222"/>
      <c r="E102" s="176"/>
      <c r="F102" s="198"/>
      <c r="G102" s="198"/>
      <c r="H102" s="198">
        <v>18.89</v>
      </c>
    </row>
    <row r="103" spans="1:10" ht="15.75" x14ac:dyDescent="0.25">
      <c r="A103" s="174" t="s">
        <v>7</v>
      </c>
      <c r="B103" s="200" t="s">
        <v>112</v>
      </c>
      <c r="C103" s="200"/>
      <c r="D103" s="222"/>
      <c r="E103" s="176"/>
      <c r="F103" s="198"/>
      <c r="G103" s="198"/>
      <c r="H103" s="198"/>
    </row>
    <row r="104" spans="1:10" ht="15.75" x14ac:dyDescent="0.25">
      <c r="A104" s="174" t="s">
        <v>9</v>
      </c>
      <c r="B104" s="200" t="s">
        <v>113</v>
      </c>
      <c r="C104" s="200"/>
      <c r="D104" s="222"/>
      <c r="E104" s="176"/>
      <c r="F104" s="198"/>
      <c r="G104" s="198"/>
      <c r="H104" s="198"/>
    </row>
    <row r="105" spans="1:10" ht="15.75" x14ac:dyDescent="0.25">
      <c r="A105" s="174" t="s">
        <v>17</v>
      </c>
      <c r="B105" s="200" t="s">
        <v>164</v>
      </c>
      <c r="C105" s="200"/>
      <c r="D105" s="222"/>
      <c r="E105" s="176"/>
      <c r="F105" s="198"/>
      <c r="G105" s="198"/>
      <c r="H105" s="198">
        <v>38.28</v>
      </c>
    </row>
    <row r="106" spans="1:10" ht="15.75" x14ac:dyDescent="0.25">
      <c r="A106" s="174" t="s">
        <v>40</v>
      </c>
      <c r="B106" s="200" t="s">
        <v>249</v>
      </c>
      <c r="C106" s="200"/>
      <c r="D106" s="222"/>
      <c r="E106" s="176"/>
      <c r="F106" s="198"/>
      <c r="G106" s="198"/>
      <c r="H106" s="198">
        <v>3.76</v>
      </c>
    </row>
    <row r="107" spans="1:10" ht="15.75" x14ac:dyDescent="0.25">
      <c r="A107" s="216"/>
      <c r="B107" s="184" t="s">
        <v>45</v>
      </c>
      <c r="C107" s="184"/>
      <c r="D107" s="185"/>
      <c r="E107" s="185"/>
      <c r="F107" s="217"/>
      <c r="G107" s="194"/>
      <c r="H107" s="195">
        <f>SUM(H102:H106)</f>
        <v>60.93</v>
      </c>
    </row>
    <row r="108" spans="1:10" ht="15.75" x14ac:dyDescent="0.25">
      <c r="A108" s="218">
        <v>6</v>
      </c>
      <c r="B108" s="295" t="s">
        <v>114</v>
      </c>
      <c r="C108" s="295"/>
      <c r="D108" s="295"/>
      <c r="E108" s="295"/>
      <c r="F108" s="295"/>
      <c r="G108" s="295"/>
      <c r="H108" s="295"/>
    </row>
    <row r="109" spans="1:10" ht="15.75" x14ac:dyDescent="0.25">
      <c r="A109" s="223" t="s">
        <v>4</v>
      </c>
      <c r="B109" s="176"/>
      <c r="C109" s="176"/>
      <c r="D109" s="176"/>
      <c r="E109" s="176"/>
      <c r="F109" s="176" t="s">
        <v>115</v>
      </c>
      <c r="G109" s="162">
        <v>0.03</v>
      </c>
      <c r="H109" s="177">
        <f>G109*H124</f>
        <v>77.72349142328531</v>
      </c>
    </row>
    <row r="110" spans="1:10" ht="15.75" x14ac:dyDescent="0.25">
      <c r="A110" s="223" t="s">
        <v>7</v>
      </c>
      <c r="B110" s="176"/>
      <c r="C110" s="176"/>
      <c r="D110" s="176"/>
      <c r="E110" s="176"/>
      <c r="F110" s="174" t="s">
        <v>116</v>
      </c>
      <c r="G110" s="162">
        <v>6.7900000000000002E-2</v>
      </c>
      <c r="H110" s="177">
        <f>(H109+H124)*$G$110</f>
        <v>181.19159398901019</v>
      </c>
    </row>
    <row r="111" spans="1:10" ht="15.75" x14ac:dyDescent="0.25">
      <c r="A111" s="223" t="s">
        <v>9</v>
      </c>
      <c r="B111" s="176"/>
      <c r="C111" s="176"/>
      <c r="D111" s="176"/>
      <c r="E111" s="176"/>
      <c r="F111" s="174" t="s">
        <v>117</v>
      </c>
      <c r="G111" s="224">
        <f>SUM(G112:G116)</f>
        <v>8.6499999999999994E-2</v>
      </c>
      <c r="H111" s="177">
        <f>H113+H114+H116</f>
        <v>269.84005308371053</v>
      </c>
    </row>
    <row r="112" spans="1:10" ht="15.75" x14ac:dyDescent="0.25">
      <c r="A112" s="223" t="s">
        <v>118</v>
      </c>
      <c r="B112" s="176"/>
      <c r="C112" s="176"/>
      <c r="D112" s="176"/>
      <c r="E112" s="176"/>
      <c r="F112" s="225" t="s">
        <v>119</v>
      </c>
      <c r="G112" s="178">
        <v>0</v>
      </c>
      <c r="H112" s="177"/>
      <c r="J112" s="120"/>
    </row>
    <row r="113" spans="1:9" ht="15.75" x14ac:dyDescent="0.25">
      <c r="A113" s="223" t="s">
        <v>120</v>
      </c>
      <c r="B113" s="176"/>
      <c r="C113" s="176"/>
      <c r="D113" s="176"/>
      <c r="E113" s="176"/>
      <c r="F113" s="225" t="s">
        <v>121</v>
      </c>
      <c r="G113" s="162">
        <v>6.4999999999999997E-3</v>
      </c>
      <c r="H113" s="177">
        <f>((H109+H110+H124)/0.9135)*G113</f>
        <v>20.276998208602524</v>
      </c>
    </row>
    <row r="114" spans="1:9" ht="15.75" x14ac:dyDescent="0.25">
      <c r="A114" s="223" t="s">
        <v>122</v>
      </c>
      <c r="B114" s="176"/>
      <c r="C114" s="176"/>
      <c r="D114" s="176"/>
      <c r="E114" s="176"/>
      <c r="F114" s="225" t="s">
        <v>123</v>
      </c>
      <c r="G114" s="162">
        <v>0.03</v>
      </c>
      <c r="H114" s="177">
        <f>((H109+H110+H124)/0.9135)*G114</f>
        <v>93.5861455781655</v>
      </c>
    </row>
    <row r="115" spans="1:9" ht="15.75" x14ac:dyDescent="0.25">
      <c r="A115" s="223" t="s">
        <v>124</v>
      </c>
      <c r="B115" s="176"/>
      <c r="C115" s="176"/>
      <c r="D115" s="176"/>
      <c r="E115" s="176"/>
      <c r="F115" s="225" t="s">
        <v>125</v>
      </c>
      <c r="G115" s="178">
        <v>0</v>
      </c>
      <c r="H115" s="177"/>
    </row>
    <row r="116" spans="1:9" ht="15.75" x14ac:dyDescent="0.25">
      <c r="A116" s="223" t="s">
        <v>126</v>
      </c>
      <c r="B116" s="176"/>
      <c r="C116" s="176"/>
      <c r="D116" s="176"/>
      <c r="E116" s="176"/>
      <c r="F116" s="225" t="s">
        <v>127</v>
      </c>
      <c r="G116" s="178">
        <v>0.05</v>
      </c>
      <c r="H116" s="177">
        <f>((H109+H110+H124)/0.9135)*G116</f>
        <v>155.97690929694249</v>
      </c>
    </row>
    <row r="117" spans="1:9" ht="15.75" x14ac:dyDescent="0.25">
      <c r="A117" s="216"/>
      <c r="B117" s="184" t="s">
        <v>45</v>
      </c>
      <c r="C117" s="184"/>
      <c r="D117" s="185"/>
      <c r="E117" s="185"/>
      <c r="F117" s="217"/>
      <c r="G117" s="194">
        <f>G111+G110+G109</f>
        <v>0.18439999999999998</v>
      </c>
      <c r="H117" s="195">
        <f>H109+H110+H111</f>
        <v>528.75513849600611</v>
      </c>
    </row>
    <row r="118" spans="1:9" ht="15.75" x14ac:dyDescent="0.25">
      <c r="A118" s="226"/>
      <c r="B118" s="295" t="s">
        <v>128</v>
      </c>
      <c r="C118" s="295"/>
      <c r="D118" s="295"/>
      <c r="E118" s="295"/>
      <c r="F118" s="295"/>
      <c r="G118" s="295"/>
      <c r="H118" s="295"/>
    </row>
    <row r="119" spans="1:9" ht="15.75" x14ac:dyDescent="0.25">
      <c r="A119" s="227" t="s">
        <v>4</v>
      </c>
      <c r="B119" s="176" t="s">
        <v>30</v>
      </c>
      <c r="C119" s="176"/>
      <c r="D119" s="176"/>
      <c r="E119" s="176"/>
      <c r="F119" s="177"/>
      <c r="G119" s="178">
        <f>SUM(H119/H$126)</f>
        <v>0.41996280279727299</v>
      </c>
      <c r="H119" s="177">
        <f>SUM(H38)</f>
        <v>1310.0899999999999</v>
      </c>
    </row>
    <row r="120" spans="1:9" ht="15.75" x14ac:dyDescent="0.25">
      <c r="A120" s="227" t="s">
        <v>7</v>
      </c>
      <c r="B120" s="176" t="s">
        <v>129</v>
      </c>
      <c r="C120" s="176"/>
      <c r="D120" s="176"/>
      <c r="E120" s="176"/>
      <c r="F120" s="177"/>
      <c r="G120" s="178">
        <f>SUM(H120/H$126)</f>
        <v>0.353744737727545</v>
      </c>
      <c r="H120" s="177">
        <f>H72</f>
        <v>1103.5202174159999</v>
      </c>
    </row>
    <row r="121" spans="1:9" ht="15.75" x14ac:dyDescent="0.25">
      <c r="A121" s="227" t="s">
        <v>9</v>
      </c>
      <c r="B121" s="176" t="s">
        <v>130</v>
      </c>
      <c r="C121" s="176"/>
      <c r="D121" s="176"/>
      <c r="E121" s="176"/>
      <c r="F121" s="177"/>
      <c r="G121" s="178">
        <f>SUM(H121/H$126)</f>
        <v>2.9834157505076415E-2</v>
      </c>
      <c r="H121" s="177">
        <f>H80</f>
        <v>93.068793582400005</v>
      </c>
    </row>
    <row r="122" spans="1:9" ht="15.75" x14ac:dyDescent="0.25">
      <c r="A122" s="227" t="s">
        <v>17</v>
      </c>
      <c r="B122" s="176" t="s">
        <v>131</v>
      </c>
      <c r="C122" s="176"/>
      <c r="D122" s="176"/>
      <c r="E122" s="176"/>
      <c r="F122" s="177"/>
      <c r="G122" s="178">
        <f>SUM(H122/H$126)</f>
        <v>7.4286753561473174E-3</v>
      </c>
      <c r="H122" s="177">
        <f>H100</f>
        <v>23.174036444444443</v>
      </c>
    </row>
    <row r="123" spans="1:9" ht="15.75" x14ac:dyDescent="0.25">
      <c r="A123" s="227" t="s">
        <v>40</v>
      </c>
      <c r="B123" s="176" t="s">
        <v>110</v>
      </c>
      <c r="C123" s="176"/>
      <c r="D123" s="176"/>
      <c r="E123" s="176"/>
      <c r="F123" s="177"/>
      <c r="G123" s="178">
        <f>H123/H126</f>
        <v>1.9531737189382292E-2</v>
      </c>
      <c r="H123" s="177">
        <f>H107</f>
        <v>60.93</v>
      </c>
    </row>
    <row r="124" spans="1:9" ht="15.75" x14ac:dyDescent="0.25">
      <c r="A124" s="227"/>
      <c r="B124" s="176" t="s">
        <v>132</v>
      </c>
      <c r="C124" s="176"/>
      <c r="D124" s="176"/>
      <c r="E124" s="176"/>
      <c r="F124" s="177"/>
      <c r="G124" s="178">
        <f>SUM(G119:G123)</f>
        <v>0.830502110575424</v>
      </c>
      <c r="H124" s="177">
        <f>SUM(H119:H123)</f>
        <v>2590.7830474428438</v>
      </c>
      <c r="I124" s="115"/>
    </row>
    <row r="125" spans="1:9" ht="15.75" x14ac:dyDescent="0.25">
      <c r="A125" s="227" t="s">
        <v>40</v>
      </c>
      <c r="B125" s="176" t="s">
        <v>133</v>
      </c>
      <c r="C125" s="176"/>
      <c r="D125" s="176"/>
      <c r="E125" s="176"/>
      <c r="F125" s="177"/>
      <c r="G125" s="178">
        <f>SUM(H125/H$126)</f>
        <v>0.16949788942457616</v>
      </c>
      <c r="H125" s="177">
        <f>H117</f>
        <v>528.75513849600611</v>
      </c>
      <c r="I125" s="115"/>
    </row>
    <row r="126" spans="1:9" ht="15.75" x14ac:dyDescent="0.25">
      <c r="A126" s="184"/>
      <c r="B126" s="184" t="s">
        <v>134</v>
      </c>
      <c r="C126" s="184"/>
      <c r="D126" s="184"/>
      <c r="E126" s="184"/>
      <c r="F126" s="184"/>
      <c r="G126" s="184">
        <f>SUM(G124+G125)</f>
        <v>1.0000000000000002</v>
      </c>
      <c r="H126" s="228">
        <f>H125+H124</f>
        <v>3119.5381859388499</v>
      </c>
    </row>
    <row r="127" spans="1:9" ht="15.75" x14ac:dyDescent="0.25">
      <c r="A127" s="229"/>
      <c r="B127" s="295" t="s">
        <v>135</v>
      </c>
      <c r="C127" s="295"/>
      <c r="D127" s="295"/>
      <c r="E127" s="295"/>
      <c r="F127" s="295"/>
      <c r="G127" s="295"/>
      <c r="H127" s="295"/>
    </row>
    <row r="128" spans="1:9" ht="47.25" x14ac:dyDescent="0.25">
      <c r="A128" s="176"/>
      <c r="B128" s="230" t="s">
        <v>20</v>
      </c>
      <c r="C128" s="230"/>
      <c r="D128" s="231" t="s">
        <v>136</v>
      </c>
      <c r="E128" s="231" t="s">
        <v>137</v>
      </c>
      <c r="F128" s="232" t="s">
        <v>138</v>
      </c>
      <c r="G128" s="231" t="s">
        <v>139</v>
      </c>
      <c r="H128" s="233" t="s">
        <v>140</v>
      </c>
    </row>
    <row r="129" spans="1:8" ht="15.75" x14ac:dyDescent="0.25">
      <c r="A129" s="176"/>
      <c r="B129" s="223" t="s">
        <v>141</v>
      </c>
      <c r="C129" s="223"/>
      <c r="D129" s="223" t="s">
        <v>142</v>
      </c>
      <c r="E129" s="231" t="s">
        <v>143</v>
      </c>
      <c r="F129" s="232" t="s">
        <v>144</v>
      </c>
      <c r="G129" s="223" t="s">
        <v>145</v>
      </c>
      <c r="H129" s="234" t="s">
        <v>146</v>
      </c>
    </row>
    <row r="130" spans="1:8" ht="15.75" x14ac:dyDescent="0.25">
      <c r="A130" s="174"/>
      <c r="B130" s="235"/>
      <c r="C130" s="235"/>
      <c r="D130" s="236">
        <f>SUM(H126)</f>
        <v>3119.5381859388499</v>
      </c>
      <c r="E130" s="165">
        <v>1</v>
      </c>
      <c r="F130" s="236">
        <f>D130*E130</f>
        <v>3119.5381859388499</v>
      </c>
      <c r="G130" s="166">
        <v>1</v>
      </c>
      <c r="H130" s="177">
        <f>E130*D130</f>
        <v>3119.5381859388499</v>
      </c>
    </row>
    <row r="131" spans="1:8" ht="15.75" x14ac:dyDescent="0.25">
      <c r="A131" s="176"/>
      <c r="B131" s="230" t="s">
        <v>147</v>
      </c>
      <c r="C131" s="230"/>
      <c r="D131" s="200"/>
      <c r="E131" s="200"/>
      <c r="F131" s="200"/>
      <c r="G131" s="200"/>
      <c r="H131" s="237">
        <f>SUM(H130)</f>
        <v>3119.5381859388499</v>
      </c>
    </row>
    <row r="132" spans="1:8" ht="15.75" x14ac:dyDescent="0.25">
      <c r="A132" s="176"/>
      <c r="B132" s="230"/>
      <c r="C132" s="230"/>
      <c r="D132" s="238"/>
      <c r="E132" s="230"/>
      <c r="F132" s="230"/>
      <c r="G132" s="230"/>
      <c r="H132" s="230"/>
    </row>
    <row r="133" spans="1:8" ht="15.75" x14ac:dyDescent="0.25">
      <c r="A133" s="218"/>
      <c r="B133" s="295" t="s">
        <v>148</v>
      </c>
      <c r="C133" s="295"/>
      <c r="D133" s="295"/>
      <c r="E133" s="295"/>
      <c r="F133" s="295"/>
      <c r="G133" s="295"/>
      <c r="H133" s="295"/>
    </row>
    <row r="134" spans="1:8" ht="15.75" x14ac:dyDescent="0.25">
      <c r="A134" s="239"/>
      <c r="B134" s="239" t="s">
        <v>149</v>
      </c>
      <c r="C134" s="239"/>
      <c r="D134" s="239"/>
      <c r="E134" s="230"/>
      <c r="F134" s="230"/>
      <c r="G134" s="230"/>
      <c r="H134" s="240" t="s">
        <v>150</v>
      </c>
    </row>
    <row r="135" spans="1:8" ht="15.75" x14ac:dyDescent="0.25">
      <c r="A135" s="241" t="s">
        <v>4</v>
      </c>
      <c r="B135" s="242" t="s">
        <v>151</v>
      </c>
      <c r="C135" s="242"/>
      <c r="D135" s="242"/>
      <c r="E135" s="200"/>
      <c r="F135" s="200"/>
      <c r="G135" s="200"/>
      <c r="H135" s="240">
        <f>D130</f>
        <v>3119.5381859388499</v>
      </c>
    </row>
    <row r="136" spans="1:8" ht="15.75" x14ac:dyDescent="0.25">
      <c r="A136" s="241" t="s">
        <v>7</v>
      </c>
      <c r="B136" s="242" t="s">
        <v>152</v>
      </c>
      <c r="C136" s="242"/>
      <c r="D136" s="242"/>
      <c r="E136" s="200"/>
      <c r="F136" s="200"/>
      <c r="G136" s="200"/>
      <c r="H136" s="240">
        <f>H131</f>
        <v>3119.5381859388499</v>
      </c>
    </row>
    <row r="137" spans="1:8" ht="15.75" x14ac:dyDescent="0.25">
      <c r="A137" s="241" t="s">
        <v>17</v>
      </c>
      <c r="B137" s="175" t="s">
        <v>153</v>
      </c>
      <c r="C137" s="175"/>
      <c r="D137" s="242"/>
      <c r="E137" s="200"/>
      <c r="F137" s="200"/>
      <c r="G137" s="165">
        <v>12</v>
      </c>
      <c r="H137" s="240">
        <f>SUM(H136*G137)</f>
        <v>37434.458231266195</v>
      </c>
    </row>
    <row r="138" spans="1:8" ht="15.75" x14ac:dyDescent="0.25">
      <c r="A138" s="6"/>
      <c r="B138" s="6"/>
      <c r="C138" s="6"/>
      <c r="D138" s="6"/>
      <c r="E138" s="6"/>
      <c r="F138" s="6"/>
      <c r="G138" s="6"/>
      <c r="H138" s="6"/>
    </row>
    <row r="141" spans="1:8" x14ac:dyDescent="0.25">
      <c r="A141" s="149" t="s">
        <v>204</v>
      </c>
      <c r="B141" s="149"/>
    </row>
    <row r="142" spans="1:8" x14ac:dyDescent="0.25">
      <c r="A142" s="149" t="s">
        <v>205</v>
      </c>
      <c r="B142" s="149"/>
    </row>
    <row r="143" spans="1:8" x14ac:dyDescent="0.25">
      <c r="A143" s="149" t="s">
        <v>253</v>
      </c>
      <c r="B143" s="149"/>
    </row>
    <row r="144" spans="1:8" x14ac:dyDescent="0.25">
      <c r="A144" s="149"/>
      <c r="B144" s="149"/>
    </row>
    <row r="145" spans="1:8" ht="30.75" customHeight="1" x14ac:dyDescent="0.25">
      <c r="A145" s="293" t="s">
        <v>207</v>
      </c>
      <c r="B145" s="293"/>
      <c r="C145" s="293"/>
      <c r="D145" s="293"/>
      <c r="E145" s="293"/>
      <c r="F145" s="293"/>
      <c r="G145" s="293"/>
      <c r="H145" s="293"/>
    </row>
    <row r="147" spans="1:8" x14ac:dyDescent="0.25">
      <c r="A147" t="s">
        <v>208</v>
      </c>
    </row>
    <row r="148" spans="1:8" x14ac:dyDescent="0.25">
      <c r="A148" s="149" t="s">
        <v>209</v>
      </c>
    </row>
    <row r="149" spans="1:8" x14ac:dyDescent="0.25">
      <c r="A149" s="149" t="s">
        <v>210</v>
      </c>
    </row>
    <row r="150" spans="1:8" x14ac:dyDescent="0.25">
      <c r="A150" s="149"/>
    </row>
    <row r="151" spans="1:8" ht="30" customHeight="1" x14ac:dyDescent="0.25">
      <c r="A151" s="293" t="s">
        <v>211</v>
      </c>
      <c r="B151" s="293"/>
      <c r="C151" s="293"/>
      <c r="D151" s="293"/>
      <c r="E151" s="293"/>
      <c r="F151" s="293"/>
      <c r="G151" s="293"/>
      <c r="H151" s="293"/>
    </row>
    <row r="152" spans="1:8" x14ac:dyDescent="0.25">
      <c r="A152" s="149"/>
    </row>
    <row r="153" spans="1:8" ht="57" customHeight="1" x14ac:dyDescent="0.25">
      <c r="A153" s="293" t="s">
        <v>212</v>
      </c>
      <c r="B153" s="293"/>
      <c r="C153" s="293"/>
      <c r="D153" s="293"/>
      <c r="E153" s="293"/>
      <c r="F153" s="293"/>
      <c r="G153" s="293"/>
      <c r="H153" s="293"/>
    </row>
    <row r="154" spans="1:8" x14ac:dyDescent="0.25">
      <c r="A154" s="149"/>
    </row>
    <row r="155" spans="1:8" x14ac:dyDescent="0.25">
      <c r="A155" s="149"/>
    </row>
    <row r="156" spans="1:8" ht="37.5" customHeight="1" x14ac:dyDescent="0.25">
      <c r="A156" s="293" t="s">
        <v>207</v>
      </c>
      <c r="B156" s="293"/>
      <c r="C156" s="293"/>
      <c r="D156" s="293"/>
      <c r="E156" s="293"/>
      <c r="F156" s="293"/>
      <c r="G156" s="293"/>
      <c r="H156" s="293"/>
    </row>
    <row r="157" spans="1:8" ht="42" customHeight="1" x14ac:dyDescent="0.25">
      <c r="A157" s="293" t="s">
        <v>223</v>
      </c>
      <c r="B157" s="293"/>
      <c r="C157" s="293"/>
      <c r="D157" s="293"/>
      <c r="E157" s="293"/>
      <c r="F157" s="293"/>
      <c r="G157" s="293"/>
      <c r="H157" s="293"/>
    </row>
    <row r="158" spans="1:8" x14ac:dyDescent="0.25">
      <c r="B158" s="150" t="s">
        <v>214</v>
      </c>
      <c r="C158" s="151"/>
      <c r="D158" s="151"/>
      <c r="E158" s="151"/>
      <c r="F158" s="151"/>
    </row>
    <row r="159" spans="1:8" x14ac:dyDescent="0.25">
      <c r="B159" s="150"/>
      <c r="C159" s="151"/>
      <c r="D159" s="151"/>
      <c r="E159" s="151"/>
      <c r="F159" s="151"/>
    </row>
    <row r="160" spans="1:8" x14ac:dyDescent="0.25">
      <c r="B160" s="150" t="s">
        <v>215</v>
      </c>
      <c r="C160" s="151" t="s">
        <v>216</v>
      </c>
      <c r="D160" s="151" t="s">
        <v>217</v>
      </c>
      <c r="E160" s="151" t="s">
        <v>218</v>
      </c>
      <c r="F160" s="151" t="s">
        <v>219</v>
      </c>
    </row>
    <row r="161" spans="1:8" x14ac:dyDescent="0.25">
      <c r="B161" s="150" t="s">
        <v>220</v>
      </c>
      <c r="C161" s="152">
        <v>1.6500000000000001E-2</v>
      </c>
      <c r="D161" s="152">
        <v>7.5999999999999998E-2</v>
      </c>
      <c r="E161" s="153">
        <v>0.05</v>
      </c>
      <c r="F161" s="151">
        <v>0.85750000000000004</v>
      </c>
    </row>
    <row r="162" spans="1:8" x14ac:dyDescent="0.25">
      <c r="B162" s="150" t="s">
        <v>221</v>
      </c>
      <c r="C162" s="152">
        <v>6.4999999999999997E-3</v>
      </c>
      <c r="D162" s="153">
        <v>0.03</v>
      </c>
      <c r="E162" s="153">
        <v>0.05</v>
      </c>
      <c r="F162" s="151">
        <v>0.91349999999999998</v>
      </c>
    </row>
    <row r="163" spans="1:8" x14ac:dyDescent="0.25">
      <c r="B163" s="150" t="s">
        <v>222</v>
      </c>
      <c r="C163" s="152">
        <v>4.4000000000000003E-3</v>
      </c>
      <c r="D163" s="152">
        <v>2.35E-2</v>
      </c>
      <c r="E163" s="153">
        <v>0.05</v>
      </c>
      <c r="F163" s="151">
        <v>0.92210000000000003</v>
      </c>
    </row>
    <row r="165" spans="1:8" ht="36" customHeight="1" x14ac:dyDescent="0.25">
      <c r="A165" s="292" t="s">
        <v>225</v>
      </c>
      <c r="B165" s="292"/>
      <c r="C165" s="292"/>
      <c r="D165" s="292"/>
      <c r="E165" s="292"/>
      <c r="F165" s="292"/>
      <c r="G165" s="292"/>
      <c r="H165" s="292"/>
    </row>
  </sheetData>
  <mergeCells count="57">
    <mergeCell ref="B118:H118"/>
    <mergeCell ref="B127:H127"/>
    <mergeCell ref="B133:H133"/>
    <mergeCell ref="C84:C89"/>
    <mergeCell ref="E84:E89"/>
    <mergeCell ref="B93:H93"/>
    <mergeCell ref="A97:H97"/>
    <mergeCell ref="B101:H101"/>
    <mergeCell ref="B108:H108"/>
    <mergeCell ref="B82:H82"/>
    <mergeCell ref="A60:A62"/>
    <mergeCell ref="D60:D61"/>
    <mergeCell ref="E60:E61"/>
    <mergeCell ref="F60:F61"/>
    <mergeCell ref="G60:G61"/>
    <mergeCell ref="B62:E62"/>
    <mergeCell ref="B63:E63"/>
    <mergeCell ref="B67:E67"/>
    <mergeCell ref="A68:H68"/>
    <mergeCell ref="B73:H73"/>
    <mergeCell ref="B81:H81"/>
    <mergeCell ref="B55:H55"/>
    <mergeCell ref="A57:A59"/>
    <mergeCell ref="D57:D58"/>
    <mergeCell ref="E57:E58"/>
    <mergeCell ref="F57:F58"/>
    <mergeCell ref="G57:G58"/>
    <mergeCell ref="D47:E48"/>
    <mergeCell ref="E18:H18"/>
    <mergeCell ref="B19:H19"/>
    <mergeCell ref="A20:H20"/>
    <mergeCell ref="D21:H21"/>
    <mergeCell ref="D22:H22"/>
    <mergeCell ref="D24:H24"/>
    <mergeCell ref="D25:H25"/>
    <mergeCell ref="B26:H26"/>
    <mergeCell ref="B39:H39"/>
    <mergeCell ref="B40:H40"/>
    <mergeCell ref="B45:H45"/>
    <mergeCell ref="E17:H17"/>
    <mergeCell ref="A3:H3"/>
    <mergeCell ref="E4:H6"/>
    <mergeCell ref="A7:D7"/>
    <mergeCell ref="A8:H8"/>
    <mergeCell ref="D9:H9"/>
    <mergeCell ref="D10:H10"/>
    <mergeCell ref="D11:H11"/>
    <mergeCell ref="D12:H12"/>
    <mergeCell ref="A14:H14"/>
    <mergeCell ref="E15:H15"/>
    <mergeCell ref="E16:H16"/>
    <mergeCell ref="A156:H156"/>
    <mergeCell ref="A157:H157"/>
    <mergeCell ref="A165:H165"/>
    <mergeCell ref="A145:H145"/>
    <mergeCell ref="A151:H151"/>
    <mergeCell ref="A153:H153"/>
  </mergeCells>
  <dataValidations count="4">
    <dataValidation type="list" operator="equal" allowBlank="1" showErrorMessage="1" sqref="D28">
      <formula1>$J$33:$J$34</formula1>
      <formula2>0</formula2>
    </dataValidation>
    <dataValidation type="list" operator="equal" allowBlank="1" showErrorMessage="1" sqref="E28">
      <formula1>$K$33:$K$34</formula1>
      <formula2>0</formula2>
    </dataValidation>
    <dataValidation type="list" operator="equal" allowBlank="1" showErrorMessage="1" sqref="D31">
      <formula1>$J$28:$J$31</formula1>
      <formula2>0</formula2>
    </dataValidation>
    <dataValidation type="list" operator="equal" allowBlank="1" showErrorMessage="1" promptTitle="Percentual" sqref="E31">
      <formula1>$K$28:$K$31</formula1>
      <formula2>0</formula2>
    </dataValidation>
  </dataValidations>
  <pageMargins left="0.7" right="0.7" top="0.75" bottom="0.75" header="0.3" footer="0.3"/>
  <pageSetup scale="45"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5"/>
  <sheetViews>
    <sheetView zoomScale="90" zoomScaleNormal="90" workbookViewId="0">
      <selection activeCell="H107" sqref="H107"/>
    </sheetView>
  </sheetViews>
  <sheetFormatPr defaultRowHeight="15" x14ac:dyDescent="0.25"/>
  <cols>
    <col min="1" max="1" width="4.85546875" bestFit="1" customWidth="1"/>
    <col min="2" max="2" width="54.85546875" customWidth="1"/>
    <col min="3" max="3" width="11.5703125" customWidth="1"/>
    <col min="4" max="4" width="34" customWidth="1"/>
    <col min="5" max="5" width="18" customWidth="1"/>
    <col min="6" max="6" width="25.28515625" bestFit="1" customWidth="1"/>
    <col min="7" max="7" width="11.5703125" bestFit="1" customWidth="1"/>
    <col min="8" max="8" width="27.5703125" bestFit="1" customWidth="1"/>
    <col min="9" max="9" width="20.7109375" customWidth="1"/>
    <col min="10" max="10" width="11" bestFit="1" customWidth="1"/>
  </cols>
  <sheetData>
    <row r="1" spans="1:8" x14ac:dyDescent="0.25">
      <c r="A1" s="1"/>
      <c r="B1" s="1"/>
      <c r="C1" s="1"/>
      <c r="D1" s="1"/>
      <c r="E1" s="1"/>
      <c r="F1" s="1"/>
      <c r="G1" s="1"/>
      <c r="H1" s="2"/>
    </row>
    <row r="2" spans="1:8" ht="15.75" x14ac:dyDescent="0.25">
      <c r="A2" s="3"/>
      <c r="B2" s="3" t="s">
        <v>0</v>
      </c>
      <c r="C2" s="3"/>
      <c r="D2" s="4"/>
      <c r="E2" s="3"/>
      <c r="F2" s="3" t="s">
        <v>2</v>
      </c>
      <c r="G2" s="3"/>
      <c r="H2" s="5"/>
    </row>
    <row r="3" spans="1:8" ht="15.75" x14ac:dyDescent="0.25">
      <c r="A3" s="269" t="s">
        <v>3</v>
      </c>
      <c r="B3" s="269"/>
      <c r="C3" s="269"/>
      <c r="D3" s="269"/>
      <c r="E3" s="269"/>
      <c r="F3" s="269"/>
      <c r="G3" s="269"/>
      <c r="H3" s="269"/>
    </row>
    <row r="4" spans="1:8" ht="15.75" x14ac:dyDescent="0.25">
      <c r="A4" s="6" t="s">
        <v>4</v>
      </c>
      <c r="B4" s="7" t="s">
        <v>5</v>
      </c>
      <c r="C4" s="7"/>
      <c r="D4" s="8"/>
      <c r="E4" s="287" t="s">
        <v>6</v>
      </c>
      <c r="F4" s="287"/>
      <c r="G4" s="287"/>
      <c r="H4" s="287"/>
    </row>
    <row r="5" spans="1:8" ht="15.75" x14ac:dyDescent="0.25">
      <c r="A5" s="6" t="s">
        <v>7</v>
      </c>
      <c r="B5" s="7" t="s">
        <v>8</v>
      </c>
      <c r="C5" s="7"/>
      <c r="D5" s="9"/>
      <c r="E5" s="287"/>
      <c r="F5" s="287"/>
      <c r="G5" s="287"/>
      <c r="H5" s="287"/>
    </row>
    <row r="6" spans="1:8" ht="15.75" x14ac:dyDescent="0.25">
      <c r="A6" s="6" t="s">
        <v>9</v>
      </c>
      <c r="B6" s="7" t="s">
        <v>10</v>
      </c>
      <c r="C6" s="7"/>
      <c r="D6" s="10"/>
      <c r="E6" s="287"/>
      <c r="F6" s="287"/>
      <c r="G6" s="287"/>
      <c r="H6" s="287"/>
    </row>
    <row r="7" spans="1:8" ht="15.75" x14ac:dyDescent="0.25">
      <c r="A7" s="288"/>
      <c r="B7" s="288"/>
      <c r="C7" s="288"/>
      <c r="D7" s="288"/>
      <c r="E7" s="11"/>
      <c r="F7" s="11"/>
      <c r="G7" s="11"/>
      <c r="H7" s="11"/>
    </row>
    <row r="8" spans="1:8" ht="15.75" x14ac:dyDescent="0.25">
      <c r="A8" s="269" t="s">
        <v>12</v>
      </c>
      <c r="B8" s="269"/>
      <c r="C8" s="269"/>
      <c r="D8" s="269"/>
      <c r="E8" s="269"/>
      <c r="F8" s="269"/>
      <c r="G8" s="269"/>
      <c r="H8" s="269"/>
    </row>
    <row r="9" spans="1:8" x14ac:dyDescent="0.25">
      <c r="A9" s="12" t="s">
        <v>4</v>
      </c>
      <c r="B9" s="13" t="s">
        <v>13</v>
      </c>
      <c r="C9" s="13"/>
      <c r="D9" s="294">
        <v>44301</v>
      </c>
      <c r="E9" s="281"/>
      <c r="F9" s="281"/>
      <c r="G9" s="281"/>
      <c r="H9" s="281"/>
    </row>
    <row r="10" spans="1:8" x14ac:dyDescent="0.25">
      <c r="A10" s="12" t="s">
        <v>7</v>
      </c>
      <c r="B10" s="13" t="s">
        <v>15</v>
      </c>
      <c r="C10" s="13"/>
      <c r="D10" s="289" t="s">
        <v>185</v>
      </c>
      <c r="E10" s="289"/>
      <c r="F10" s="289"/>
      <c r="G10" s="289"/>
      <c r="H10" s="289"/>
    </row>
    <row r="11" spans="1:8" x14ac:dyDescent="0.25">
      <c r="A11" s="12" t="s">
        <v>9</v>
      </c>
      <c r="B11" s="13" t="s">
        <v>16</v>
      </c>
      <c r="C11" s="13"/>
      <c r="D11" s="289" t="s">
        <v>263</v>
      </c>
      <c r="E11" s="289"/>
      <c r="F11" s="289"/>
      <c r="G11" s="289"/>
      <c r="H11" s="289"/>
    </row>
    <row r="12" spans="1:8" x14ac:dyDescent="0.25">
      <c r="A12" s="12" t="s">
        <v>17</v>
      </c>
      <c r="B12" s="13" t="s">
        <v>18</v>
      </c>
      <c r="C12" s="13"/>
      <c r="D12" s="289">
        <v>12</v>
      </c>
      <c r="E12" s="289"/>
      <c r="F12" s="289"/>
      <c r="G12" s="289"/>
      <c r="H12" s="289"/>
    </row>
    <row r="13" spans="1:8" x14ac:dyDescent="0.25">
      <c r="A13" s="12"/>
      <c r="B13" s="13"/>
      <c r="C13" s="13"/>
      <c r="D13" s="14"/>
      <c r="E13" s="14"/>
      <c r="F13" s="14"/>
      <c r="G13" s="14"/>
      <c r="H13" s="15"/>
    </row>
    <row r="14" spans="1:8" ht="15.75" x14ac:dyDescent="0.25">
      <c r="A14" s="269" t="s">
        <v>19</v>
      </c>
      <c r="B14" s="269"/>
      <c r="C14" s="269"/>
      <c r="D14" s="269"/>
      <c r="E14" s="269"/>
      <c r="F14" s="269"/>
      <c r="G14" s="269"/>
      <c r="H14" s="269"/>
    </row>
    <row r="15" spans="1:8" ht="15.75" x14ac:dyDescent="0.25">
      <c r="A15" s="12"/>
      <c r="B15" s="16" t="s">
        <v>20</v>
      </c>
      <c r="C15" s="16"/>
      <c r="D15" s="17" t="s">
        <v>21</v>
      </c>
      <c r="E15" s="290" t="s">
        <v>22</v>
      </c>
      <c r="F15" s="290"/>
      <c r="G15" s="290"/>
      <c r="H15" s="290"/>
    </row>
    <row r="16" spans="1:8" x14ac:dyDescent="0.25">
      <c r="A16" s="12" t="s">
        <v>4</v>
      </c>
      <c r="B16" s="18" t="s">
        <v>180</v>
      </c>
      <c r="C16" s="19"/>
      <c r="D16" s="20" t="s">
        <v>23</v>
      </c>
      <c r="E16" s="291">
        <v>1</v>
      </c>
      <c r="F16" s="291"/>
      <c r="G16" s="291"/>
      <c r="H16" s="291"/>
    </row>
    <row r="17" spans="1:8" x14ac:dyDescent="0.25">
      <c r="A17" s="12" t="s">
        <v>7</v>
      </c>
      <c r="B17" s="13"/>
      <c r="C17" s="13"/>
      <c r="D17" s="21"/>
      <c r="E17" s="279"/>
      <c r="F17" s="279"/>
      <c r="G17" s="279"/>
      <c r="H17" s="279"/>
    </row>
    <row r="18" spans="1:8" x14ac:dyDescent="0.25">
      <c r="A18" s="12" t="s">
        <v>9</v>
      </c>
      <c r="B18" s="13"/>
      <c r="C18" s="13"/>
      <c r="D18" s="21"/>
      <c r="E18" s="279"/>
      <c r="F18" s="279"/>
      <c r="G18" s="279"/>
      <c r="H18" s="279"/>
    </row>
    <row r="19" spans="1:8" ht="15.75" x14ac:dyDescent="0.25">
      <c r="A19" s="110"/>
      <c r="B19" s="269" t="s">
        <v>24</v>
      </c>
      <c r="C19" s="269"/>
      <c r="D19" s="269"/>
      <c r="E19" s="269"/>
      <c r="F19" s="269"/>
      <c r="G19" s="269"/>
      <c r="H19" s="269"/>
    </row>
    <row r="20" spans="1:8" ht="15.75" x14ac:dyDescent="0.25">
      <c r="A20" s="280" t="s">
        <v>25</v>
      </c>
      <c r="B20" s="280"/>
      <c r="C20" s="280"/>
      <c r="D20" s="280"/>
      <c r="E20" s="280"/>
      <c r="F20" s="280"/>
      <c r="G20" s="280"/>
      <c r="H20" s="280"/>
    </row>
    <row r="21" spans="1:8" x14ac:dyDescent="0.25">
      <c r="A21" s="12">
        <v>1</v>
      </c>
      <c r="B21" s="13" t="s">
        <v>20</v>
      </c>
      <c r="C21" s="13"/>
      <c r="D21" s="281" t="s">
        <v>181</v>
      </c>
      <c r="E21" s="281"/>
      <c r="F21" s="281"/>
      <c r="G21" s="281"/>
      <c r="H21" s="281"/>
    </row>
    <row r="22" spans="1:8" x14ac:dyDescent="0.25">
      <c r="A22" s="12">
        <v>2</v>
      </c>
      <c r="B22" s="13" t="s">
        <v>26</v>
      </c>
      <c r="C22" s="13"/>
      <c r="D22" s="282" t="s">
        <v>243</v>
      </c>
      <c r="E22" s="282"/>
      <c r="F22" s="282"/>
      <c r="G22" s="282"/>
      <c r="H22" s="282"/>
    </row>
    <row r="23" spans="1:8" x14ac:dyDescent="0.25">
      <c r="A23" s="12">
        <v>3</v>
      </c>
      <c r="B23" s="13" t="s">
        <v>27</v>
      </c>
      <c r="C23" s="13"/>
      <c r="D23" s="22">
        <v>1310.0899999999999</v>
      </c>
      <c r="E23" s="23"/>
      <c r="F23" s="23"/>
      <c r="G23" s="23"/>
      <c r="H23" s="23"/>
    </row>
    <row r="24" spans="1:8" ht="30" x14ac:dyDescent="0.25">
      <c r="A24" s="1">
        <v>4</v>
      </c>
      <c r="B24" s="24" t="s">
        <v>28</v>
      </c>
      <c r="C24" s="24"/>
      <c r="D24" s="283" t="s">
        <v>264</v>
      </c>
      <c r="E24" s="283"/>
      <c r="F24" s="283"/>
      <c r="G24" s="283"/>
      <c r="H24" s="283"/>
    </row>
    <row r="25" spans="1:8" x14ac:dyDescent="0.25">
      <c r="A25" s="1">
        <v>5</v>
      </c>
      <c r="B25" s="25" t="s">
        <v>29</v>
      </c>
      <c r="C25" s="25"/>
      <c r="D25" s="284" t="s">
        <v>265</v>
      </c>
      <c r="E25" s="284"/>
      <c r="F25" s="284"/>
      <c r="G25" s="284"/>
      <c r="H25" s="284"/>
    </row>
    <row r="26" spans="1:8" ht="15.75" x14ac:dyDescent="0.25">
      <c r="A26" s="188">
        <v>1</v>
      </c>
      <c r="B26" s="295" t="s">
        <v>30</v>
      </c>
      <c r="C26" s="295"/>
      <c r="D26" s="295"/>
      <c r="E26" s="295"/>
      <c r="F26" s="295"/>
      <c r="G26" s="295"/>
      <c r="H26" s="295"/>
    </row>
    <row r="27" spans="1:8" ht="15.75" x14ac:dyDescent="0.25">
      <c r="A27" s="174" t="s">
        <v>4</v>
      </c>
      <c r="B27" s="176" t="s">
        <v>31</v>
      </c>
      <c r="C27" s="176"/>
      <c r="D27" s="176"/>
      <c r="E27" s="205"/>
      <c r="F27" s="205"/>
      <c r="G27" s="177"/>
      <c r="H27" s="243">
        <f>D23</f>
        <v>1310.0899999999999</v>
      </c>
    </row>
    <row r="28" spans="1:8" ht="15.75" x14ac:dyDescent="0.25">
      <c r="A28" s="174" t="s">
        <v>7</v>
      </c>
      <c r="B28" s="176" t="s">
        <v>32</v>
      </c>
      <c r="C28" s="176"/>
      <c r="D28" s="244"/>
      <c r="E28" s="245">
        <v>0</v>
      </c>
      <c r="F28" s="205"/>
      <c r="G28" s="205"/>
      <c r="H28" s="246"/>
    </row>
    <row r="29" spans="1:8" ht="15.75" x14ac:dyDescent="0.25">
      <c r="A29" s="174" t="s">
        <v>9</v>
      </c>
      <c r="B29" s="176" t="s">
        <v>34</v>
      </c>
      <c r="C29" s="176"/>
      <c r="D29" s="247" t="s">
        <v>35</v>
      </c>
      <c r="E29" s="248" t="s">
        <v>36</v>
      </c>
      <c r="F29" s="247" t="s">
        <v>37</v>
      </c>
      <c r="G29" s="198"/>
      <c r="H29" s="246"/>
    </row>
    <row r="30" spans="1:8" ht="15.75" x14ac:dyDescent="0.25">
      <c r="A30" s="174" t="s">
        <v>17</v>
      </c>
      <c r="B30" s="176" t="s">
        <v>167</v>
      </c>
      <c r="C30" s="176"/>
      <c r="D30" s="247"/>
      <c r="E30" s="248"/>
      <c r="F30" s="247"/>
      <c r="G30" s="198"/>
      <c r="H30" s="246"/>
    </row>
    <row r="31" spans="1:8" ht="15.75" x14ac:dyDescent="0.25">
      <c r="A31" s="174" t="s">
        <v>40</v>
      </c>
      <c r="B31" s="176" t="s">
        <v>38</v>
      </c>
      <c r="C31" s="176"/>
      <c r="D31" s="244" t="s">
        <v>39</v>
      </c>
      <c r="E31" s="249">
        <v>0</v>
      </c>
      <c r="F31" s="250">
        <v>954</v>
      </c>
      <c r="G31" s="176"/>
      <c r="H31" s="251"/>
    </row>
    <row r="32" spans="1:8" ht="15.75" x14ac:dyDescent="0.25">
      <c r="A32" s="174" t="s">
        <v>42</v>
      </c>
      <c r="B32" s="176" t="s">
        <v>41</v>
      </c>
      <c r="C32" s="176"/>
      <c r="D32" s="205"/>
      <c r="E32" s="205"/>
      <c r="F32" s="205"/>
      <c r="G32" s="198"/>
      <c r="H32" s="251"/>
    </row>
    <row r="33" spans="1:9" ht="15.75" x14ac:dyDescent="0.25">
      <c r="A33" s="174" t="s">
        <v>61</v>
      </c>
      <c r="B33" s="176" t="s">
        <v>159</v>
      </c>
      <c r="C33" s="176"/>
      <c r="D33" s="205"/>
      <c r="E33" s="205"/>
      <c r="F33" s="205"/>
      <c r="G33" s="198"/>
      <c r="H33" s="251"/>
    </row>
    <row r="34" spans="1:9" ht="15.75" x14ac:dyDescent="0.25">
      <c r="A34" s="174" t="s">
        <v>43</v>
      </c>
      <c r="B34" s="176" t="s">
        <v>155</v>
      </c>
      <c r="C34" s="176"/>
      <c r="D34" s="205"/>
      <c r="E34" s="205"/>
      <c r="F34" s="205"/>
      <c r="G34" s="198"/>
      <c r="H34" s="251"/>
    </row>
    <row r="35" spans="1:9" ht="15.75" x14ac:dyDescent="0.25">
      <c r="A35" s="174" t="s">
        <v>161</v>
      </c>
      <c r="B35" s="175" t="s">
        <v>160</v>
      </c>
      <c r="C35" s="175"/>
      <c r="D35" s="205"/>
      <c r="E35" s="205"/>
      <c r="F35" s="205"/>
      <c r="G35" s="198"/>
      <c r="H35" s="251"/>
    </row>
    <row r="36" spans="1:9" ht="15.75" x14ac:dyDescent="0.25">
      <c r="A36" s="174" t="s">
        <v>165</v>
      </c>
      <c r="B36" s="175" t="s">
        <v>162</v>
      </c>
      <c r="C36" s="175"/>
      <c r="D36" s="205"/>
      <c r="E36" s="205"/>
      <c r="F36" s="205"/>
      <c r="G36" s="198"/>
      <c r="H36" s="251"/>
    </row>
    <row r="37" spans="1:9" ht="15.75" x14ac:dyDescent="0.25">
      <c r="A37" s="174" t="s">
        <v>166</v>
      </c>
      <c r="B37" s="176" t="s">
        <v>44</v>
      </c>
      <c r="C37" s="176"/>
      <c r="D37" s="176"/>
      <c r="E37" s="176"/>
      <c r="F37" s="198"/>
      <c r="G37" s="198"/>
      <c r="H37" s="198">
        <v>0</v>
      </c>
    </row>
    <row r="38" spans="1:9" ht="15.75" x14ac:dyDescent="0.25">
      <c r="A38" s="252"/>
      <c r="B38" s="184" t="s">
        <v>45</v>
      </c>
      <c r="C38" s="184"/>
      <c r="D38" s="185"/>
      <c r="E38" s="185"/>
      <c r="F38" s="186"/>
      <c r="G38" s="186"/>
      <c r="H38" s="187">
        <f>SUM(H27:H37)</f>
        <v>1310.0899999999999</v>
      </c>
    </row>
    <row r="39" spans="1:9" ht="15.75" x14ac:dyDescent="0.25">
      <c r="A39" s="172">
        <v>2</v>
      </c>
      <c r="B39" s="300" t="s">
        <v>46</v>
      </c>
      <c r="C39" s="300"/>
      <c r="D39" s="300"/>
      <c r="E39" s="300"/>
      <c r="F39" s="300"/>
      <c r="G39" s="300"/>
      <c r="H39" s="300"/>
    </row>
    <row r="40" spans="1:9" ht="15.75" x14ac:dyDescent="0.25">
      <c r="A40" s="173" t="s">
        <v>47</v>
      </c>
      <c r="B40" s="301" t="s">
        <v>48</v>
      </c>
      <c r="C40" s="301"/>
      <c r="D40" s="301"/>
      <c r="E40" s="301"/>
      <c r="F40" s="301"/>
      <c r="G40" s="301"/>
      <c r="H40" s="301"/>
    </row>
    <row r="41" spans="1:9" ht="15.75" x14ac:dyDescent="0.25">
      <c r="A41" s="174" t="s">
        <v>4</v>
      </c>
      <c r="B41" s="175" t="s">
        <v>49</v>
      </c>
      <c r="C41" s="175"/>
      <c r="D41" s="175"/>
      <c r="E41" s="176"/>
      <c r="F41" s="177"/>
      <c r="G41" s="178">
        <v>8.3299999999999999E-2</v>
      </c>
      <c r="H41" s="177">
        <f>SUM($H$38*G41)</f>
        <v>109.13049699999999</v>
      </c>
    </row>
    <row r="42" spans="1:9" ht="15.75" x14ac:dyDescent="0.25">
      <c r="A42" s="174" t="s">
        <v>7</v>
      </c>
      <c r="B42" s="176" t="s">
        <v>50</v>
      </c>
      <c r="C42" s="176"/>
      <c r="D42" s="176"/>
      <c r="E42" s="176"/>
      <c r="F42" s="179"/>
      <c r="G42" s="180">
        <v>0.121</v>
      </c>
      <c r="H42" s="177">
        <f>SUM($H$38*G42)</f>
        <v>158.52088999999998</v>
      </c>
    </row>
    <row r="43" spans="1:9" ht="15.75" x14ac:dyDescent="0.25">
      <c r="A43" s="1" t="s">
        <v>9</v>
      </c>
      <c r="B43" s="48" t="s">
        <v>51</v>
      </c>
      <c r="C43" s="181"/>
      <c r="D43" s="176"/>
      <c r="E43" s="176"/>
      <c r="F43" s="179"/>
      <c r="G43" s="180">
        <f>SUM(G41:G42)*G54</f>
        <v>7.518240000000001E-2</v>
      </c>
      <c r="H43" s="177">
        <f>SUM($H$38*G43)</f>
        <v>98.495710416000009</v>
      </c>
    </row>
    <row r="44" spans="1:9" ht="15.75" x14ac:dyDescent="0.25">
      <c r="A44" s="182"/>
      <c r="B44" s="183" t="s">
        <v>45</v>
      </c>
      <c r="C44" s="184"/>
      <c r="D44" s="185"/>
      <c r="E44" s="185"/>
      <c r="F44" s="186"/>
      <c r="G44" s="186"/>
      <c r="H44" s="187">
        <f>SUM(H41:H43)</f>
        <v>366.14709741600001</v>
      </c>
    </row>
    <row r="45" spans="1:9" ht="15.75" x14ac:dyDescent="0.25">
      <c r="A45" s="188" t="s">
        <v>52</v>
      </c>
      <c r="B45" s="295" t="s">
        <v>53</v>
      </c>
      <c r="C45" s="295"/>
      <c r="D45" s="295"/>
      <c r="E45" s="295"/>
      <c r="F45" s="295"/>
      <c r="G45" s="295"/>
      <c r="H45" s="295"/>
    </row>
    <row r="46" spans="1:9" ht="15.75" x14ac:dyDescent="0.25">
      <c r="A46" s="174" t="s">
        <v>4</v>
      </c>
      <c r="B46" s="181" t="s">
        <v>54</v>
      </c>
      <c r="C46" s="181"/>
      <c r="D46" s="176"/>
      <c r="E46" s="176"/>
      <c r="F46" s="177"/>
      <c r="G46" s="178">
        <v>0.2</v>
      </c>
      <c r="H46" s="177">
        <f>SUM($H$38*G46)</f>
        <v>262.01799999999997</v>
      </c>
    </row>
    <row r="47" spans="1:9" ht="15.75" x14ac:dyDescent="0.25">
      <c r="A47" s="174" t="s">
        <v>7</v>
      </c>
      <c r="B47" s="181" t="s">
        <v>55</v>
      </c>
      <c r="C47" s="181"/>
      <c r="D47" s="299" t="s">
        <v>56</v>
      </c>
      <c r="E47" s="299"/>
      <c r="F47" s="177"/>
      <c r="G47" s="162">
        <v>1.4999999999999999E-2</v>
      </c>
      <c r="H47" s="177">
        <f>SUM($H$38*G47)</f>
        <v>19.651349999999997</v>
      </c>
      <c r="I47" s="115"/>
    </row>
    <row r="48" spans="1:9" ht="15.75" x14ac:dyDescent="0.25">
      <c r="A48" s="174" t="s">
        <v>9</v>
      </c>
      <c r="B48" s="181" t="s">
        <v>57</v>
      </c>
      <c r="C48" s="181"/>
      <c r="D48" s="299"/>
      <c r="E48" s="299"/>
      <c r="F48" s="177"/>
      <c r="G48" s="162">
        <v>0.01</v>
      </c>
      <c r="H48" s="177">
        <f t="shared" ref="H48" si="0">SUM($H$38*G48)</f>
        <v>13.100899999999999</v>
      </c>
    </row>
    <row r="49" spans="1:13" ht="15.75" x14ac:dyDescent="0.25">
      <c r="A49" s="174" t="s">
        <v>17</v>
      </c>
      <c r="B49" s="181" t="s">
        <v>58</v>
      </c>
      <c r="C49" s="181"/>
      <c r="D49" s="176"/>
      <c r="E49" s="176"/>
      <c r="F49" s="177"/>
      <c r="G49" s="162">
        <v>2E-3</v>
      </c>
      <c r="H49" s="177">
        <f>SUM($H$38*G49)</f>
        <v>2.62018</v>
      </c>
    </row>
    <row r="50" spans="1:13" ht="15.75" x14ac:dyDescent="0.25">
      <c r="A50" s="174" t="s">
        <v>40</v>
      </c>
      <c r="B50" s="181" t="s">
        <v>59</v>
      </c>
      <c r="C50" s="181"/>
      <c r="D50" s="176"/>
      <c r="E50" s="176"/>
      <c r="F50" s="177"/>
      <c r="G50" s="162">
        <v>2.5000000000000001E-2</v>
      </c>
      <c r="H50" s="177">
        <f>SUM($H$38*G50)</f>
        <v>32.752249999999997</v>
      </c>
    </row>
    <row r="51" spans="1:13" ht="15.75" x14ac:dyDescent="0.25">
      <c r="A51" s="174" t="s">
        <v>42</v>
      </c>
      <c r="B51" s="181" t="s">
        <v>60</v>
      </c>
      <c r="C51" s="181"/>
      <c r="D51" s="176"/>
      <c r="E51" s="176"/>
      <c r="F51" s="177"/>
      <c r="G51" s="178">
        <v>0.08</v>
      </c>
      <c r="H51" s="177">
        <f>SUM($H$38*G51)</f>
        <v>104.80719999999999</v>
      </c>
    </row>
    <row r="52" spans="1:13" ht="15.75" x14ac:dyDescent="0.25">
      <c r="A52" s="189" t="s">
        <v>61</v>
      </c>
      <c r="B52" s="190" t="s">
        <v>62</v>
      </c>
      <c r="C52" s="190"/>
      <c r="D52" s="191"/>
      <c r="E52" s="191"/>
      <c r="F52" s="191"/>
      <c r="G52" s="163">
        <v>0.03</v>
      </c>
      <c r="H52" s="192">
        <f>SUM($H$38*G52)</f>
        <v>39.302699999999994</v>
      </c>
    </row>
    <row r="53" spans="1:13" ht="15.75" x14ac:dyDescent="0.25">
      <c r="A53" s="174" t="s">
        <v>43</v>
      </c>
      <c r="B53" s="181" t="s">
        <v>63</v>
      </c>
      <c r="C53" s="181"/>
      <c r="D53" s="176"/>
      <c r="E53" s="176"/>
      <c r="F53" s="177"/>
      <c r="G53" s="162">
        <v>6.0000000000000001E-3</v>
      </c>
      <c r="H53" s="177">
        <f>SUM($H$38*G53)</f>
        <v>7.8605399999999994</v>
      </c>
      <c r="I53" s="121"/>
    </row>
    <row r="54" spans="1:13" ht="15.75" x14ac:dyDescent="0.25">
      <c r="A54" s="183"/>
      <c r="B54" s="184" t="s">
        <v>45</v>
      </c>
      <c r="C54" s="184"/>
      <c r="D54" s="184"/>
      <c r="E54" s="184"/>
      <c r="F54" s="193"/>
      <c r="G54" s="194">
        <f>SUM(G46:G53)</f>
        <v>0.3680000000000001</v>
      </c>
      <c r="H54" s="195">
        <f>SUM(H46:H53)</f>
        <v>482.11312000000004</v>
      </c>
    </row>
    <row r="55" spans="1:13" ht="15.75" x14ac:dyDescent="0.25">
      <c r="A55" s="188" t="s">
        <v>64</v>
      </c>
      <c r="B55" s="295" t="s">
        <v>65</v>
      </c>
      <c r="C55" s="295"/>
      <c r="D55" s="295"/>
      <c r="E55" s="295"/>
      <c r="F55" s="295"/>
      <c r="G55" s="295"/>
      <c r="H55" s="295"/>
    </row>
    <row r="56" spans="1:13" ht="15.75" x14ac:dyDescent="0.25">
      <c r="A56" s="176" t="s">
        <v>66</v>
      </c>
      <c r="B56" s="196"/>
      <c r="C56" s="196"/>
      <c r="D56" s="197" t="s">
        <v>67</v>
      </c>
      <c r="E56" s="197" t="s">
        <v>68</v>
      </c>
      <c r="F56" s="197" t="s">
        <v>69</v>
      </c>
      <c r="G56" s="197" t="s">
        <v>70</v>
      </c>
      <c r="H56" s="176"/>
    </row>
    <row r="57" spans="1:13" ht="15.75" x14ac:dyDescent="0.25">
      <c r="A57" s="302" t="s">
        <v>4</v>
      </c>
      <c r="B57" s="176" t="s">
        <v>71</v>
      </c>
      <c r="C57" s="176"/>
      <c r="D57" s="296"/>
      <c r="E57" s="297"/>
      <c r="F57" s="298"/>
      <c r="G57" s="303"/>
      <c r="H57" s="198">
        <f>F57*E57*D57</f>
        <v>0</v>
      </c>
      <c r="I57" t="s">
        <v>257</v>
      </c>
    </row>
    <row r="58" spans="1:13" ht="15.75" x14ac:dyDescent="0.25">
      <c r="A58" s="302"/>
      <c r="B58" s="176" t="s">
        <v>72</v>
      </c>
      <c r="C58" s="176"/>
      <c r="D58" s="296"/>
      <c r="E58" s="296"/>
      <c r="F58" s="296"/>
      <c r="G58" s="296"/>
      <c r="H58" s="198">
        <f>H27*G57</f>
        <v>0</v>
      </c>
    </row>
    <row r="59" spans="1:13" ht="15.75" x14ac:dyDescent="0.25">
      <c r="A59" s="302"/>
      <c r="B59" s="175" t="s">
        <v>73</v>
      </c>
      <c r="C59" s="175"/>
      <c r="D59" s="175"/>
      <c r="E59" s="176"/>
      <c r="F59" s="176"/>
      <c r="G59" s="199"/>
      <c r="H59" s="198">
        <f>H57-H58</f>
        <v>0</v>
      </c>
    </row>
    <row r="60" spans="1:13" ht="15.75" x14ac:dyDescent="0.25">
      <c r="A60" s="302" t="s">
        <v>7</v>
      </c>
      <c r="B60" s="176" t="s">
        <v>74</v>
      </c>
      <c r="C60" s="176"/>
      <c r="D60" s="296">
        <v>1</v>
      </c>
      <c r="E60" s="297">
        <v>1</v>
      </c>
      <c r="F60" s="298">
        <v>0</v>
      </c>
      <c r="G60" s="303">
        <v>0.2</v>
      </c>
      <c r="H60" s="198">
        <f>F60*E60*D60</f>
        <v>0</v>
      </c>
    </row>
    <row r="61" spans="1:13" ht="15.75" x14ac:dyDescent="0.25">
      <c r="A61" s="302"/>
      <c r="B61" s="176" t="s">
        <v>72</v>
      </c>
      <c r="C61" s="176"/>
      <c r="D61" s="296"/>
      <c r="E61" s="296"/>
      <c r="F61" s="296"/>
      <c r="G61" s="296"/>
      <c r="H61" s="198">
        <f>H60*G60</f>
        <v>0</v>
      </c>
    </row>
    <row r="62" spans="1:13" ht="15.75" x14ac:dyDescent="0.25">
      <c r="A62" s="302"/>
      <c r="B62" s="304" t="s">
        <v>75</v>
      </c>
      <c r="C62" s="304"/>
      <c r="D62" s="304"/>
      <c r="E62" s="304"/>
      <c r="F62" s="200"/>
      <c r="G62" s="200"/>
      <c r="H62" s="198">
        <f>H60-H61</f>
        <v>0</v>
      </c>
    </row>
    <row r="63" spans="1:13" ht="15.75" x14ac:dyDescent="0.25">
      <c r="A63" s="201" t="s">
        <v>9</v>
      </c>
      <c r="B63" s="304" t="s">
        <v>267</v>
      </c>
      <c r="C63" s="304"/>
      <c r="D63" s="304"/>
      <c r="E63" s="304"/>
      <c r="F63" s="200"/>
      <c r="G63" s="200"/>
      <c r="H63" s="198">
        <v>100</v>
      </c>
    </row>
    <row r="64" spans="1:13" ht="15.75" x14ac:dyDescent="0.25">
      <c r="A64" s="201" t="s">
        <v>17</v>
      </c>
      <c r="B64" s="202" t="s">
        <v>252</v>
      </c>
      <c r="C64" s="202"/>
      <c r="D64" s="202"/>
      <c r="E64" s="202" t="s">
        <v>163</v>
      </c>
      <c r="F64" s="200"/>
      <c r="G64" s="200"/>
      <c r="H64" s="198">
        <v>11</v>
      </c>
      <c r="J64" s="125"/>
      <c r="K64" s="13"/>
      <c r="L64" s="13"/>
      <c r="M64" s="35"/>
    </row>
    <row r="65" spans="1:13" ht="15.75" x14ac:dyDescent="0.25">
      <c r="A65" s="201" t="s">
        <v>40</v>
      </c>
      <c r="B65" s="203" t="s">
        <v>224</v>
      </c>
      <c r="C65" s="202"/>
      <c r="D65" s="202"/>
      <c r="E65" s="202"/>
      <c r="F65" s="200"/>
      <c r="G65" s="200"/>
      <c r="H65" s="198">
        <v>4.0599999999999996</v>
      </c>
      <c r="J65" s="148"/>
      <c r="K65" s="13"/>
      <c r="L65" s="13"/>
      <c r="M65" s="35"/>
    </row>
    <row r="66" spans="1:13" ht="15.75" x14ac:dyDescent="0.25">
      <c r="A66" s="201" t="s">
        <v>42</v>
      </c>
      <c r="B66" s="203" t="s">
        <v>266</v>
      </c>
      <c r="C66" s="203"/>
      <c r="D66" s="203"/>
      <c r="E66" s="204">
        <v>0</v>
      </c>
      <c r="F66" s="205"/>
      <c r="G66" s="205"/>
      <c r="H66" s="198">
        <v>0</v>
      </c>
    </row>
    <row r="67" spans="1:13" ht="15.75" x14ac:dyDescent="0.25">
      <c r="A67" s="206"/>
      <c r="B67" s="305" t="s">
        <v>45</v>
      </c>
      <c r="C67" s="305"/>
      <c r="D67" s="305"/>
      <c r="E67" s="305"/>
      <c r="F67" s="207"/>
      <c r="G67" s="207"/>
      <c r="H67" s="208">
        <f>H59+H62+H63+H64+H66+H65</f>
        <v>115.06</v>
      </c>
    </row>
    <row r="68" spans="1:13" ht="15.75" x14ac:dyDescent="0.25">
      <c r="A68" s="295" t="s">
        <v>79</v>
      </c>
      <c r="B68" s="295"/>
      <c r="C68" s="295"/>
      <c r="D68" s="295"/>
      <c r="E68" s="295"/>
      <c r="F68" s="295"/>
      <c r="G68" s="295"/>
      <c r="H68" s="295"/>
    </row>
    <row r="69" spans="1:13" ht="15.75" x14ac:dyDescent="0.25">
      <c r="A69" s="201" t="s">
        <v>47</v>
      </c>
      <c r="B69" s="175" t="s">
        <v>80</v>
      </c>
      <c r="C69" s="175"/>
      <c r="D69" s="209"/>
      <c r="E69" s="209"/>
      <c r="F69" s="200"/>
      <c r="G69" s="200"/>
      <c r="H69" s="210">
        <f>H44</f>
        <v>366.14709741600001</v>
      </c>
    </row>
    <row r="70" spans="1:13" ht="15.75" x14ac:dyDescent="0.25">
      <c r="A70" s="201" t="s">
        <v>52</v>
      </c>
      <c r="B70" s="175" t="s">
        <v>81</v>
      </c>
      <c r="C70" s="175"/>
      <c r="D70" s="209"/>
      <c r="E70" s="209"/>
      <c r="F70" s="200"/>
      <c r="G70" s="200"/>
      <c r="H70" s="210">
        <f>H54</f>
        <v>482.11312000000004</v>
      </c>
    </row>
    <row r="71" spans="1:13" ht="15.75" x14ac:dyDescent="0.25">
      <c r="A71" s="201" t="s">
        <v>64</v>
      </c>
      <c r="B71" s="175" t="s">
        <v>82</v>
      </c>
      <c r="C71" s="175"/>
      <c r="D71" s="209"/>
      <c r="E71" s="209"/>
      <c r="F71" s="200"/>
      <c r="G71" s="200"/>
      <c r="H71" s="210">
        <f>H67</f>
        <v>115.06</v>
      </c>
    </row>
    <row r="72" spans="1:13" ht="15.75" x14ac:dyDescent="0.25">
      <c r="A72" s="206"/>
      <c r="B72" s="211" t="s">
        <v>45</v>
      </c>
      <c r="C72" s="211"/>
      <c r="D72" s="211"/>
      <c r="E72" s="211"/>
      <c r="F72" s="207"/>
      <c r="G72" s="207"/>
      <c r="H72" s="208">
        <f>SUM(H69:H71)</f>
        <v>963.32021741600011</v>
      </c>
    </row>
    <row r="73" spans="1:13" ht="15.75" x14ac:dyDescent="0.25">
      <c r="A73" s="212">
        <v>3</v>
      </c>
      <c r="B73" s="295" t="s">
        <v>83</v>
      </c>
      <c r="C73" s="295"/>
      <c r="D73" s="295"/>
      <c r="E73" s="295"/>
      <c r="F73" s="295"/>
      <c r="G73" s="295"/>
      <c r="H73" s="295"/>
    </row>
    <row r="74" spans="1:13" ht="15.75" x14ac:dyDescent="0.25">
      <c r="A74" s="174" t="s">
        <v>4</v>
      </c>
      <c r="B74" s="181" t="s">
        <v>84</v>
      </c>
      <c r="C74" s="181"/>
      <c r="D74" s="213"/>
      <c r="E74" s="213"/>
      <c r="F74" s="213"/>
      <c r="G74" s="178">
        <f>1/12*5%</f>
        <v>4.1666666666666666E-3</v>
      </c>
      <c r="H74" s="177">
        <f>SUM($H$38*G74)</f>
        <v>5.4587083333333331</v>
      </c>
      <c r="I74" s="115"/>
    </row>
    <row r="75" spans="1:13" ht="15.75" x14ac:dyDescent="0.25">
      <c r="A75" s="174" t="s">
        <v>7</v>
      </c>
      <c r="B75" s="181" t="s">
        <v>85</v>
      </c>
      <c r="C75" s="181"/>
      <c r="D75" s="176"/>
      <c r="E75" s="176"/>
      <c r="F75" s="177"/>
      <c r="G75" s="178">
        <f>G74*0.08</f>
        <v>3.3333333333333332E-4</v>
      </c>
      <c r="H75" s="177">
        <f>SUM($H$38*G75)</f>
        <v>0.43669666666666662</v>
      </c>
    </row>
    <row r="76" spans="1:13" ht="15.75" x14ac:dyDescent="0.25">
      <c r="A76" s="174" t="s">
        <v>9</v>
      </c>
      <c r="B76" s="181" t="s">
        <v>86</v>
      </c>
      <c r="C76" s="181"/>
      <c r="D76" s="214"/>
      <c r="E76" s="214"/>
      <c r="F76" s="214"/>
      <c r="G76" s="164">
        <f>(0.08*0.4*0.9)*(1+0.08333+0.121)</f>
        <v>3.4684704000000004E-2</v>
      </c>
      <c r="H76" s="215">
        <f>(ROUND(SUM($H$38*G76),2))</f>
        <v>45.44</v>
      </c>
    </row>
    <row r="77" spans="1:13" ht="15.75" x14ac:dyDescent="0.25">
      <c r="A77" s="174" t="s">
        <v>17</v>
      </c>
      <c r="B77" s="176" t="s">
        <v>87</v>
      </c>
      <c r="C77" s="176"/>
      <c r="D77" s="213"/>
      <c r="E77" s="213"/>
      <c r="F77" s="213"/>
      <c r="G77" s="178">
        <v>1.9400000000000001E-2</v>
      </c>
      <c r="H77" s="177">
        <f>SUM($H$38*G77)</f>
        <v>25.415745999999999</v>
      </c>
      <c r="I77" s="115"/>
    </row>
    <row r="78" spans="1:13" ht="15.75" x14ac:dyDescent="0.25">
      <c r="A78" s="174" t="s">
        <v>40</v>
      </c>
      <c r="B78" s="181" t="s">
        <v>226</v>
      </c>
      <c r="C78" s="181"/>
      <c r="D78" s="176"/>
      <c r="E78" s="176"/>
      <c r="F78" s="177"/>
      <c r="G78" s="178">
        <f>G77*G54</f>
        <v>7.1392000000000027E-3</v>
      </c>
      <c r="H78" s="177">
        <f>SUM($H$38*G78)</f>
        <v>9.3529945280000035</v>
      </c>
    </row>
    <row r="79" spans="1:13" ht="15.75" x14ac:dyDescent="0.25">
      <c r="A79" s="174" t="s">
        <v>42</v>
      </c>
      <c r="B79" s="176" t="s">
        <v>89</v>
      </c>
      <c r="C79" s="176"/>
      <c r="D79" s="214"/>
      <c r="E79" s="214"/>
      <c r="F79" s="214"/>
      <c r="G79" s="162">
        <f>4%-G76</f>
        <v>5.3152959999999971E-3</v>
      </c>
      <c r="H79" s="177">
        <f>SUM($H$38*G79)</f>
        <v>6.9635161366399956</v>
      </c>
    </row>
    <row r="80" spans="1:13" ht="15.75" x14ac:dyDescent="0.25">
      <c r="A80" s="216"/>
      <c r="B80" s="184" t="s">
        <v>45</v>
      </c>
      <c r="C80" s="184"/>
      <c r="D80" s="185"/>
      <c r="E80" s="185"/>
      <c r="F80" s="217"/>
      <c r="G80" s="194">
        <f>SUM(G74:G79)</f>
        <v>7.1039199999999997E-2</v>
      </c>
      <c r="H80" s="195">
        <f>SUM(H74:H79)</f>
        <v>93.067661664639999</v>
      </c>
    </row>
    <row r="81" spans="1:9" ht="15.75" x14ac:dyDescent="0.25">
      <c r="A81" s="172">
        <v>4</v>
      </c>
      <c r="B81" s="306" t="s">
        <v>90</v>
      </c>
      <c r="C81" s="306"/>
      <c r="D81" s="306"/>
      <c r="E81" s="306"/>
      <c r="F81" s="306"/>
      <c r="G81" s="306"/>
      <c r="H81" s="306"/>
    </row>
    <row r="82" spans="1:9" ht="15.75" x14ac:dyDescent="0.25">
      <c r="A82" s="218" t="s">
        <v>91</v>
      </c>
      <c r="B82" s="295" t="s">
        <v>237</v>
      </c>
      <c r="C82" s="295"/>
      <c r="D82" s="295"/>
      <c r="E82" s="295"/>
      <c r="F82" s="295"/>
      <c r="G82" s="295"/>
      <c r="H82" s="295"/>
    </row>
    <row r="83" spans="1:9" ht="15.75" x14ac:dyDescent="0.25">
      <c r="A83" s="174" t="s">
        <v>4</v>
      </c>
      <c r="B83" s="181" t="s">
        <v>227</v>
      </c>
      <c r="C83" s="181"/>
      <c r="D83" s="213"/>
      <c r="E83" s="213"/>
      <c r="F83" s="213"/>
      <c r="G83" s="178">
        <v>0</v>
      </c>
      <c r="H83" s="177"/>
    </row>
    <row r="84" spans="1:9" ht="15.75" x14ac:dyDescent="0.25">
      <c r="A84" s="219" t="s">
        <v>7</v>
      </c>
      <c r="B84" s="181" t="s">
        <v>228</v>
      </c>
      <c r="C84" s="307" t="s">
        <v>95</v>
      </c>
      <c r="D84" s="167">
        <v>5.96</v>
      </c>
      <c r="E84" s="307" t="s">
        <v>96</v>
      </c>
      <c r="F84" s="169">
        <v>1</v>
      </c>
      <c r="G84" s="178">
        <f t="shared" ref="G84:G89" si="1">D84/360*F84</f>
        <v>1.6555555555555556E-2</v>
      </c>
      <c r="H84" s="177">
        <f>SUM(H$38*G84)</f>
        <v>21.689267777777776</v>
      </c>
    </row>
    <row r="85" spans="1:9" ht="15.75" x14ac:dyDescent="0.25">
      <c r="A85" s="174" t="s">
        <v>9</v>
      </c>
      <c r="B85" s="181" t="s">
        <v>229</v>
      </c>
      <c r="C85" s="307"/>
      <c r="D85" s="167">
        <v>5</v>
      </c>
      <c r="E85" s="307"/>
      <c r="F85" s="169">
        <v>1.4999999999999999E-2</v>
      </c>
      <c r="G85" s="178">
        <f t="shared" si="1"/>
        <v>2.0833333333333332E-4</v>
      </c>
      <c r="H85" s="177">
        <f>SUM(H$38*G85)</f>
        <v>0.27293541666666665</v>
      </c>
    </row>
    <row r="86" spans="1:9" ht="15.75" x14ac:dyDescent="0.25">
      <c r="A86" s="174" t="s">
        <v>17</v>
      </c>
      <c r="B86" s="181" t="s">
        <v>230</v>
      </c>
      <c r="C86" s="307"/>
      <c r="D86" s="167">
        <v>15</v>
      </c>
      <c r="E86" s="307"/>
      <c r="F86" s="170">
        <v>7.7999999999999996E-3</v>
      </c>
      <c r="G86" s="178">
        <f t="shared" si="1"/>
        <v>3.2499999999999999E-4</v>
      </c>
      <c r="H86" s="177">
        <f>SUM(H$38*G86)</f>
        <v>0.42577924999999994</v>
      </c>
    </row>
    <row r="87" spans="1:9" ht="15.75" x14ac:dyDescent="0.25">
      <c r="A87" s="174" t="s">
        <v>40</v>
      </c>
      <c r="B87" s="181" t="s">
        <v>231</v>
      </c>
      <c r="C87" s="307"/>
      <c r="D87" s="167">
        <v>120</v>
      </c>
      <c r="E87" s="307"/>
      <c r="F87" s="169">
        <v>1.8599999999999998E-2</v>
      </c>
      <c r="G87" s="178">
        <v>5.9999999999999995E-4</v>
      </c>
      <c r="H87" s="177">
        <f>SUM(H$38*G87)</f>
        <v>0.78605399999999992</v>
      </c>
    </row>
    <row r="88" spans="1:9" ht="15.75" x14ac:dyDescent="0.25">
      <c r="A88" s="174" t="s">
        <v>42</v>
      </c>
      <c r="B88" s="181" t="s">
        <v>101</v>
      </c>
      <c r="C88" s="307"/>
      <c r="D88" s="168"/>
      <c r="E88" s="307"/>
      <c r="F88" s="171"/>
      <c r="G88" s="178">
        <f t="shared" si="1"/>
        <v>0</v>
      </c>
      <c r="H88" s="220">
        <f>SUM(H$38*G88)</f>
        <v>0</v>
      </c>
    </row>
    <row r="89" spans="1:9" ht="15.75" x14ac:dyDescent="0.25">
      <c r="A89" s="174" t="s">
        <v>61</v>
      </c>
      <c r="B89" s="181"/>
      <c r="C89" s="307"/>
      <c r="D89" s="168"/>
      <c r="E89" s="307"/>
      <c r="F89" s="221"/>
      <c r="G89" s="178">
        <f t="shared" si="1"/>
        <v>0</v>
      </c>
      <c r="H89" s="220"/>
    </row>
    <row r="90" spans="1:9" ht="15.75" x14ac:dyDescent="0.25">
      <c r="A90" s="200"/>
      <c r="B90" s="176" t="s">
        <v>102</v>
      </c>
      <c r="C90" s="176"/>
      <c r="D90" s="176"/>
      <c r="E90" s="176"/>
      <c r="F90" s="177"/>
      <c r="G90" s="178">
        <f>SUM(G83:G89)</f>
        <v>1.7688888888888889E-2</v>
      </c>
      <c r="H90" s="177">
        <f>SUM(H83:H89)</f>
        <v>23.174036444444443</v>
      </c>
      <c r="I90" s="115"/>
    </row>
    <row r="91" spans="1:9" ht="15.75" x14ac:dyDescent="0.25">
      <c r="A91" s="174" t="s">
        <v>42</v>
      </c>
      <c r="B91" s="181" t="s">
        <v>103</v>
      </c>
      <c r="C91" s="181"/>
      <c r="D91" s="176"/>
      <c r="E91" s="176"/>
      <c r="F91" s="177"/>
      <c r="G91" s="178">
        <v>0</v>
      </c>
      <c r="H91" s="177">
        <v>0</v>
      </c>
    </row>
    <row r="92" spans="1:9" ht="15.75" x14ac:dyDescent="0.25">
      <c r="A92" s="216"/>
      <c r="B92" s="184" t="s">
        <v>45</v>
      </c>
      <c r="C92" s="184"/>
      <c r="D92" s="185"/>
      <c r="E92" s="185"/>
      <c r="F92" s="217"/>
      <c r="G92" s="194">
        <f>G91+G90</f>
        <v>1.7688888888888889E-2</v>
      </c>
      <c r="H92" s="195">
        <f>SUM(H90:H91)</f>
        <v>23.174036444444443</v>
      </c>
    </row>
    <row r="93" spans="1:9" ht="15.75" x14ac:dyDescent="0.25">
      <c r="A93" s="218" t="s">
        <v>104</v>
      </c>
      <c r="B93" s="295" t="s">
        <v>233</v>
      </c>
      <c r="C93" s="295"/>
      <c r="D93" s="295"/>
      <c r="E93" s="295"/>
      <c r="F93" s="295"/>
      <c r="G93" s="295"/>
      <c r="H93" s="295"/>
    </row>
    <row r="94" spans="1:9" ht="15.75" x14ac:dyDescent="0.25">
      <c r="A94" s="174" t="s">
        <v>4</v>
      </c>
      <c r="B94" s="181" t="s">
        <v>235</v>
      </c>
      <c r="C94" s="181"/>
      <c r="D94" s="213"/>
      <c r="E94" s="213"/>
      <c r="F94" s="213"/>
      <c r="G94" s="162">
        <v>0</v>
      </c>
      <c r="H94" s="177">
        <f>SUM(H$38*G94)</f>
        <v>0</v>
      </c>
    </row>
    <row r="95" spans="1:9" ht="15.75" x14ac:dyDescent="0.25">
      <c r="A95" s="174" t="s">
        <v>7</v>
      </c>
      <c r="B95" s="181" t="s">
        <v>107</v>
      </c>
      <c r="C95" s="181"/>
      <c r="D95" s="213"/>
      <c r="E95" s="213"/>
      <c r="F95" s="213"/>
      <c r="G95" s="178">
        <f>G94*G54</f>
        <v>0</v>
      </c>
      <c r="H95" s="177">
        <f>SUM($H$38*G95)</f>
        <v>0</v>
      </c>
    </row>
    <row r="96" spans="1:9" ht="15.75" x14ac:dyDescent="0.25">
      <c r="A96" s="216"/>
      <c r="B96" s="184" t="s">
        <v>45</v>
      </c>
      <c r="C96" s="184"/>
      <c r="D96" s="185"/>
      <c r="E96" s="185"/>
      <c r="F96" s="217"/>
      <c r="G96" s="194">
        <f>G95+G94</f>
        <v>0</v>
      </c>
      <c r="H96" s="195">
        <f>SUM(H94:H95)</f>
        <v>0</v>
      </c>
    </row>
    <row r="97" spans="1:10" ht="15.75" x14ac:dyDescent="0.25">
      <c r="A97" s="295" t="s">
        <v>108</v>
      </c>
      <c r="B97" s="295"/>
      <c r="C97" s="295"/>
      <c r="D97" s="295"/>
      <c r="E97" s="295"/>
      <c r="F97" s="295"/>
      <c r="G97" s="295"/>
      <c r="H97" s="295"/>
    </row>
    <row r="98" spans="1:10" ht="15.75" x14ac:dyDescent="0.25">
      <c r="A98" s="174" t="s">
        <v>91</v>
      </c>
      <c r="B98" s="181" t="s">
        <v>236</v>
      </c>
      <c r="C98" s="181"/>
      <c r="D98" s="213"/>
      <c r="E98" s="213"/>
      <c r="F98" s="213"/>
      <c r="G98" s="178">
        <f>G92</f>
        <v>1.7688888888888889E-2</v>
      </c>
      <c r="H98" s="177">
        <f>H92</f>
        <v>23.174036444444443</v>
      </c>
    </row>
    <row r="99" spans="1:10" ht="15.75" x14ac:dyDescent="0.25">
      <c r="A99" s="174" t="s">
        <v>104</v>
      </c>
      <c r="B99" s="181" t="s">
        <v>234</v>
      </c>
      <c r="C99" s="181"/>
      <c r="D99" s="213"/>
      <c r="E99" s="213"/>
      <c r="F99" s="213"/>
      <c r="G99" s="178">
        <f>G96</f>
        <v>0</v>
      </c>
      <c r="H99" s="177">
        <f>H96</f>
        <v>0</v>
      </c>
    </row>
    <row r="100" spans="1:10" ht="15.75" x14ac:dyDescent="0.25">
      <c r="A100" s="216"/>
      <c r="B100" s="184" t="s">
        <v>45</v>
      </c>
      <c r="C100" s="184"/>
      <c r="D100" s="185"/>
      <c r="E100" s="185"/>
      <c r="F100" s="217"/>
      <c r="G100" s="194">
        <f>G96+G92</f>
        <v>1.7688888888888889E-2</v>
      </c>
      <c r="H100" s="195">
        <f>SUM(H98:H99)</f>
        <v>23.174036444444443</v>
      </c>
    </row>
    <row r="101" spans="1:10" ht="15.75" x14ac:dyDescent="0.25">
      <c r="A101" s="218">
        <v>5</v>
      </c>
      <c r="B101" s="295" t="s">
        <v>110</v>
      </c>
      <c r="C101" s="295"/>
      <c r="D101" s="295"/>
      <c r="E101" s="295"/>
      <c r="F101" s="295"/>
      <c r="G101" s="295"/>
      <c r="H101" s="295"/>
    </row>
    <row r="102" spans="1:10" ht="15.75" x14ac:dyDescent="0.25">
      <c r="A102" s="174" t="s">
        <v>4</v>
      </c>
      <c r="B102" s="200" t="s">
        <v>111</v>
      </c>
      <c r="C102" s="200"/>
      <c r="D102" s="222"/>
      <c r="E102" s="176"/>
      <c r="F102" s="198"/>
      <c r="G102" s="198"/>
      <c r="H102" s="198">
        <v>28.79</v>
      </c>
    </row>
    <row r="103" spans="1:10" ht="15.75" x14ac:dyDescent="0.25">
      <c r="A103" s="174" t="s">
        <v>7</v>
      </c>
      <c r="B103" s="200" t="s">
        <v>112</v>
      </c>
      <c r="C103" s="200"/>
      <c r="D103" s="222"/>
      <c r="E103" s="176"/>
      <c r="F103" s="198"/>
      <c r="G103" s="198"/>
      <c r="H103" s="198"/>
    </row>
    <row r="104" spans="1:10" ht="15.75" x14ac:dyDescent="0.25">
      <c r="A104" s="174" t="s">
        <v>9</v>
      </c>
      <c r="B104" s="200" t="s">
        <v>113</v>
      </c>
      <c r="C104" s="200"/>
      <c r="D104" s="222"/>
      <c r="E104" s="176"/>
      <c r="F104" s="198"/>
      <c r="G104" s="198"/>
      <c r="H104" s="198">
        <v>135.18</v>
      </c>
    </row>
    <row r="105" spans="1:10" ht="15.75" x14ac:dyDescent="0.25">
      <c r="A105" s="174" t="s">
        <v>17</v>
      </c>
      <c r="B105" s="200" t="s">
        <v>164</v>
      </c>
      <c r="C105" s="200"/>
      <c r="D105" s="222"/>
      <c r="E105" s="176"/>
      <c r="F105" s="198"/>
      <c r="G105" s="198"/>
      <c r="H105" s="198">
        <v>87.49</v>
      </c>
    </row>
    <row r="106" spans="1:10" ht="15.75" x14ac:dyDescent="0.25">
      <c r="A106" s="174" t="s">
        <v>40</v>
      </c>
      <c r="B106" s="200" t="s">
        <v>249</v>
      </c>
      <c r="C106" s="200"/>
      <c r="D106" s="222"/>
      <c r="E106" s="176"/>
      <c r="F106" s="198"/>
      <c r="G106" s="198"/>
      <c r="H106" s="198">
        <v>3.76</v>
      </c>
    </row>
    <row r="107" spans="1:10" ht="15.75" x14ac:dyDescent="0.25">
      <c r="A107" s="216"/>
      <c r="B107" s="184" t="s">
        <v>45</v>
      </c>
      <c r="C107" s="184"/>
      <c r="D107" s="185"/>
      <c r="E107" s="185"/>
      <c r="F107" s="217"/>
      <c r="G107" s="194"/>
      <c r="H107" s="195">
        <f>SUM(H102:H106)</f>
        <v>255.21999999999997</v>
      </c>
    </row>
    <row r="108" spans="1:10" ht="15.75" x14ac:dyDescent="0.25">
      <c r="A108" s="218">
        <v>6</v>
      </c>
      <c r="B108" s="295" t="s">
        <v>114</v>
      </c>
      <c r="C108" s="295"/>
      <c r="D108" s="295"/>
      <c r="E108" s="295"/>
      <c r="F108" s="295"/>
      <c r="G108" s="295"/>
      <c r="H108" s="295"/>
    </row>
    <row r="109" spans="1:10" ht="15.75" x14ac:dyDescent="0.25">
      <c r="A109" s="223" t="s">
        <v>4</v>
      </c>
      <c r="B109" s="176"/>
      <c r="C109" s="176"/>
      <c r="D109" s="176"/>
      <c r="E109" s="176"/>
      <c r="F109" s="176" t="s">
        <v>115</v>
      </c>
      <c r="G109" s="162">
        <v>0.03</v>
      </c>
      <c r="H109" s="177">
        <f>G109*H124</f>
        <v>79.346157465752526</v>
      </c>
    </row>
    <row r="110" spans="1:10" ht="15.75" x14ac:dyDescent="0.25">
      <c r="A110" s="223" t="s">
        <v>7</v>
      </c>
      <c r="B110" s="176"/>
      <c r="C110" s="176"/>
      <c r="D110" s="176"/>
      <c r="E110" s="176"/>
      <c r="F110" s="174" t="s">
        <v>116</v>
      </c>
      <c r="G110" s="162">
        <v>6.7900000000000002E-2</v>
      </c>
      <c r="H110" s="177">
        <f>H109+H124*$G$110</f>
        <v>258.93296052990576</v>
      </c>
    </row>
    <row r="111" spans="1:10" ht="15.75" x14ac:dyDescent="0.25">
      <c r="A111" s="223" t="s">
        <v>9</v>
      </c>
      <c r="B111" s="176"/>
      <c r="C111" s="176"/>
      <c r="D111" s="176"/>
      <c r="E111" s="176"/>
      <c r="F111" s="174" t="s">
        <v>117</v>
      </c>
      <c r="G111" s="224">
        <f>SUM(G112:G116)</f>
        <v>8.6499999999999994E-2</v>
      </c>
      <c r="H111" s="177">
        <f>H113+H114+H116</f>
        <v>282.47680831915079</v>
      </c>
    </row>
    <row r="112" spans="1:10" ht="15.75" x14ac:dyDescent="0.25">
      <c r="A112" s="223" t="s">
        <v>118</v>
      </c>
      <c r="B112" s="176"/>
      <c r="C112" s="176"/>
      <c r="D112" s="176"/>
      <c r="E112" s="176"/>
      <c r="F112" s="225" t="s">
        <v>119</v>
      </c>
      <c r="G112" s="178">
        <v>0</v>
      </c>
      <c r="H112" s="177"/>
      <c r="J112" s="120"/>
    </row>
    <row r="113" spans="1:9" ht="15.75" x14ac:dyDescent="0.25">
      <c r="A113" s="223" t="s">
        <v>120</v>
      </c>
      <c r="B113" s="176"/>
      <c r="C113" s="176"/>
      <c r="D113" s="176"/>
      <c r="E113" s="176"/>
      <c r="F113" s="225" t="s">
        <v>121</v>
      </c>
      <c r="G113" s="162">
        <v>6.4999999999999997E-3</v>
      </c>
      <c r="H113" s="177">
        <f>((H109+H110+H124)/0.9135)*G113</f>
        <v>21.226580971959304</v>
      </c>
    </row>
    <row r="114" spans="1:9" ht="15.75" x14ac:dyDescent="0.25">
      <c r="A114" s="223" t="s">
        <v>122</v>
      </c>
      <c r="B114" s="176"/>
      <c r="C114" s="176"/>
      <c r="D114" s="176"/>
      <c r="E114" s="176"/>
      <c r="F114" s="225" t="s">
        <v>123</v>
      </c>
      <c r="G114" s="162">
        <v>0.03</v>
      </c>
      <c r="H114" s="177">
        <f>((H109+H110+H124)/0.9135)*G114</f>
        <v>97.968835255196794</v>
      </c>
    </row>
    <row r="115" spans="1:9" ht="15.75" x14ac:dyDescent="0.25">
      <c r="A115" s="223" t="s">
        <v>124</v>
      </c>
      <c r="B115" s="176"/>
      <c r="C115" s="176"/>
      <c r="D115" s="176"/>
      <c r="E115" s="176"/>
      <c r="F115" s="225" t="s">
        <v>125</v>
      </c>
      <c r="G115" s="178">
        <v>0</v>
      </c>
      <c r="H115" s="177"/>
    </row>
    <row r="116" spans="1:9" ht="15.75" x14ac:dyDescent="0.25">
      <c r="A116" s="223" t="s">
        <v>126</v>
      </c>
      <c r="B116" s="176"/>
      <c r="C116" s="176"/>
      <c r="D116" s="176"/>
      <c r="E116" s="176"/>
      <c r="F116" s="225" t="s">
        <v>127</v>
      </c>
      <c r="G116" s="178">
        <v>0.05</v>
      </c>
      <c r="H116" s="177">
        <f>((H109+H110+H124)/0.9135)*G116</f>
        <v>163.28139209199469</v>
      </c>
    </row>
    <row r="117" spans="1:9" ht="15.75" x14ac:dyDescent="0.25">
      <c r="A117" s="216"/>
      <c r="B117" s="184" t="s">
        <v>45</v>
      </c>
      <c r="C117" s="184"/>
      <c r="D117" s="185"/>
      <c r="E117" s="185"/>
      <c r="F117" s="217"/>
      <c r="G117" s="194">
        <f>G111+G110+G109</f>
        <v>0.18439999999999998</v>
      </c>
      <c r="H117" s="195">
        <f>H109+H110+H111</f>
        <v>620.75592631480913</v>
      </c>
    </row>
    <row r="118" spans="1:9" ht="15.75" x14ac:dyDescent="0.25">
      <c r="A118" s="226"/>
      <c r="B118" s="295" t="s">
        <v>128</v>
      </c>
      <c r="C118" s="295"/>
      <c r="D118" s="295"/>
      <c r="E118" s="295"/>
      <c r="F118" s="295"/>
      <c r="G118" s="295"/>
      <c r="H118" s="295"/>
    </row>
    <row r="119" spans="1:9" ht="15.75" x14ac:dyDescent="0.25">
      <c r="A119" s="227" t="s">
        <v>4</v>
      </c>
      <c r="B119" s="176" t="s">
        <v>30</v>
      </c>
      <c r="C119" s="176"/>
      <c r="D119" s="176"/>
      <c r="E119" s="176"/>
      <c r="F119" s="177"/>
      <c r="G119" s="178">
        <f>SUM(H119/H$126)</f>
        <v>0.40117553605308548</v>
      </c>
      <c r="H119" s="177">
        <f>SUM(H38)</f>
        <v>1310.0899999999999</v>
      </c>
    </row>
    <row r="120" spans="1:9" ht="15.75" x14ac:dyDescent="0.25">
      <c r="A120" s="227" t="s">
        <v>7</v>
      </c>
      <c r="B120" s="176" t="s">
        <v>129</v>
      </c>
      <c r="C120" s="176"/>
      <c r="D120" s="176"/>
      <c r="E120" s="176"/>
      <c r="F120" s="177"/>
      <c r="G120" s="178">
        <f>SUM(H120/H$126)</f>
        <v>0.29498775245413578</v>
      </c>
      <c r="H120" s="177">
        <f>H72</f>
        <v>963.32021741600011</v>
      </c>
    </row>
    <row r="121" spans="1:9" ht="15.75" x14ac:dyDescent="0.25">
      <c r="A121" s="227" t="s">
        <v>9</v>
      </c>
      <c r="B121" s="176" t="s">
        <v>130</v>
      </c>
      <c r="C121" s="176"/>
      <c r="D121" s="176"/>
      <c r="E121" s="176"/>
      <c r="F121" s="177"/>
      <c r="G121" s="178">
        <f>SUM(H121/H$126)</f>
        <v>2.8499163460158575E-2</v>
      </c>
      <c r="H121" s="177">
        <f>H80</f>
        <v>93.067661664639999</v>
      </c>
    </row>
    <row r="122" spans="1:9" ht="15.75" x14ac:dyDescent="0.25">
      <c r="A122" s="227" t="s">
        <v>17</v>
      </c>
      <c r="B122" s="176" t="s">
        <v>131</v>
      </c>
      <c r="C122" s="176"/>
      <c r="D122" s="176"/>
      <c r="E122" s="176"/>
      <c r="F122" s="177"/>
      <c r="G122" s="178">
        <f>SUM(H122/H$126)</f>
        <v>7.0963494821834677E-3</v>
      </c>
      <c r="H122" s="177">
        <f>H100</f>
        <v>23.174036444444443</v>
      </c>
    </row>
    <row r="123" spans="1:9" ht="15.75" x14ac:dyDescent="0.25">
      <c r="A123" s="227" t="s">
        <v>40</v>
      </c>
      <c r="B123" s="176" t="s">
        <v>110</v>
      </c>
      <c r="C123" s="176"/>
      <c r="D123" s="176"/>
      <c r="E123" s="176"/>
      <c r="F123" s="177"/>
      <c r="G123" s="178">
        <f>H123/H126</f>
        <v>7.8153424811630096E-2</v>
      </c>
      <c r="H123" s="177">
        <f>H107</f>
        <v>255.21999999999997</v>
      </c>
    </row>
    <row r="124" spans="1:9" ht="15.75" x14ac:dyDescent="0.25">
      <c r="A124" s="227"/>
      <c r="B124" s="176" t="s">
        <v>132</v>
      </c>
      <c r="C124" s="176"/>
      <c r="D124" s="176"/>
      <c r="E124" s="176"/>
      <c r="F124" s="177"/>
      <c r="G124" s="178">
        <f>SUM(G119:G123)</f>
        <v>0.80991222626119352</v>
      </c>
      <c r="H124" s="177">
        <f>SUM(H119:H123)</f>
        <v>2644.8719155250842</v>
      </c>
      <c r="I124" s="115"/>
    </row>
    <row r="125" spans="1:9" ht="15.75" x14ac:dyDescent="0.25">
      <c r="A125" s="227" t="s">
        <v>40</v>
      </c>
      <c r="B125" s="176" t="s">
        <v>133</v>
      </c>
      <c r="C125" s="176"/>
      <c r="D125" s="176"/>
      <c r="E125" s="176"/>
      <c r="F125" s="177"/>
      <c r="G125" s="178">
        <f>SUM(H125/H$126)</f>
        <v>0.19008777373880664</v>
      </c>
      <c r="H125" s="177">
        <f>H117</f>
        <v>620.75592631480913</v>
      </c>
      <c r="I125" s="115"/>
    </row>
    <row r="126" spans="1:9" ht="15.75" x14ac:dyDescent="0.25">
      <c r="A126" s="184"/>
      <c r="B126" s="184" t="s">
        <v>134</v>
      </c>
      <c r="C126" s="184"/>
      <c r="D126" s="184"/>
      <c r="E126" s="184"/>
      <c r="F126" s="184"/>
      <c r="G126" s="184">
        <f>SUM(G124+G125)</f>
        <v>1.0000000000000002</v>
      </c>
      <c r="H126" s="228">
        <f>H125+H124</f>
        <v>3265.6278418398933</v>
      </c>
    </row>
    <row r="127" spans="1:9" ht="15.75" x14ac:dyDescent="0.25">
      <c r="A127" s="229"/>
      <c r="B127" s="295" t="s">
        <v>135</v>
      </c>
      <c r="C127" s="295"/>
      <c r="D127" s="295"/>
      <c r="E127" s="295"/>
      <c r="F127" s="295"/>
      <c r="G127" s="295"/>
      <c r="H127" s="295"/>
    </row>
    <row r="128" spans="1:9" ht="47.25" x14ac:dyDescent="0.25">
      <c r="A128" s="176"/>
      <c r="B128" s="230" t="s">
        <v>20</v>
      </c>
      <c r="C128" s="230"/>
      <c r="D128" s="231" t="s">
        <v>136</v>
      </c>
      <c r="E128" s="231" t="s">
        <v>137</v>
      </c>
      <c r="F128" s="232" t="s">
        <v>138</v>
      </c>
      <c r="G128" s="231" t="s">
        <v>139</v>
      </c>
      <c r="H128" s="233" t="s">
        <v>140</v>
      </c>
    </row>
    <row r="129" spans="1:9" ht="15.75" x14ac:dyDescent="0.25">
      <c r="A129" s="176"/>
      <c r="B129" s="223" t="s">
        <v>141</v>
      </c>
      <c r="C129" s="223"/>
      <c r="D129" s="223" t="s">
        <v>142</v>
      </c>
      <c r="E129" s="231" t="s">
        <v>143</v>
      </c>
      <c r="F129" s="232" t="s">
        <v>144</v>
      </c>
      <c r="G129" s="223" t="s">
        <v>145</v>
      </c>
      <c r="H129" s="234" t="s">
        <v>146</v>
      </c>
    </row>
    <row r="130" spans="1:9" ht="15.75" x14ac:dyDescent="0.25">
      <c r="A130" s="174"/>
      <c r="B130" s="235"/>
      <c r="C130" s="235"/>
      <c r="D130" s="236">
        <f>SUM(H126)</f>
        <v>3265.6278418398933</v>
      </c>
      <c r="E130" s="165">
        <v>4</v>
      </c>
      <c r="F130" s="236">
        <f>D130*E130</f>
        <v>13062.511367359573</v>
      </c>
      <c r="G130" s="166">
        <v>1</v>
      </c>
      <c r="H130" s="177">
        <f>E130*D130</f>
        <v>13062.511367359573</v>
      </c>
    </row>
    <row r="131" spans="1:9" ht="15.75" x14ac:dyDescent="0.25">
      <c r="A131" s="176"/>
      <c r="B131" s="230" t="s">
        <v>147</v>
      </c>
      <c r="C131" s="230"/>
      <c r="D131" s="200"/>
      <c r="E131" s="200"/>
      <c r="F131" s="200"/>
      <c r="G131" s="200"/>
      <c r="H131" s="237">
        <f>SUM(H130)</f>
        <v>13062.511367359573</v>
      </c>
    </row>
    <row r="132" spans="1:9" ht="15.75" x14ac:dyDescent="0.25">
      <c r="A132" s="176"/>
      <c r="B132" s="230"/>
      <c r="C132" s="230"/>
      <c r="D132" s="238"/>
      <c r="E132" s="230"/>
      <c r="F132" s="230"/>
      <c r="G132" s="230"/>
      <c r="H132" s="230"/>
    </row>
    <row r="133" spans="1:9" ht="15.75" x14ac:dyDescent="0.25">
      <c r="A133" s="218"/>
      <c r="B133" s="295" t="s">
        <v>148</v>
      </c>
      <c r="C133" s="295"/>
      <c r="D133" s="295"/>
      <c r="E133" s="295"/>
      <c r="F133" s="295"/>
      <c r="G133" s="295"/>
      <c r="H133" s="295"/>
    </row>
    <row r="134" spans="1:9" ht="15.75" x14ac:dyDescent="0.25">
      <c r="A134" s="239"/>
      <c r="B134" s="239" t="s">
        <v>149</v>
      </c>
      <c r="C134" s="239"/>
      <c r="D134" s="239"/>
      <c r="E134" s="230"/>
      <c r="F134" s="230"/>
      <c r="G134" s="230"/>
      <c r="H134" s="240" t="s">
        <v>150</v>
      </c>
    </row>
    <row r="135" spans="1:9" ht="15.75" x14ac:dyDescent="0.25">
      <c r="A135" s="241" t="s">
        <v>4</v>
      </c>
      <c r="B135" s="242" t="s">
        <v>151</v>
      </c>
      <c r="C135" s="242"/>
      <c r="D135" s="242"/>
      <c r="E135" s="200"/>
      <c r="F135" s="200"/>
      <c r="G135" s="200"/>
      <c r="H135" s="240">
        <f>D130</f>
        <v>3265.6278418398933</v>
      </c>
    </row>
    <row r="136" spans="1:9" ht="15.75" x14ac:dyDescent="0.25">
      <c r="A136" s="241" t="s">
        <v>7</v>
      </c>
      <c r="B136" s="242" t="s">
        <v>152</v>
      </c>
      <c r="C136" s="242"/>
      <c r="D136" s="242"/>
      <c r="E136" s="200"/>
      <c r="F136" s="200"/>
      <c r="G136" s="200"/>
      <c r="H136" s="240">
        <f>H131</f>
        <v>13062.511367359573</v>
      </c>
      <c r="I136" s="119"/>
    </row>
    <row r="137" spans="1:9" ht="15.75" x14ac:dyDescent="0.25">
      <c r="A137" s="241" t="s">
        <v>17</v>
      </c>
      <c r="B137" s="175" t="s">
        <v>153</v>
      </c>
      <c r="C137" s="175"/>
      <c r="D137" s="242"/>
      <c r="E137" s="200"/>
      <c r="F137" s="200"/>
      <c r="G137" s="165">
        <v>12</v>
      </c>
      <c r="H137" s="240">
        <f>SUM(H136*G137)</f>
        <v>156750.13640831487</v>
      </c>
      <c r="I137" s="119"/>
    </row>
    <row r="138" spans="1:9" ht="15.75" x14ac:dyDescent="0.25">
      <c r="A138" s="6"/>
      <c r="B138" s="6"/>
      <c r="C138" s="6"/>
      <c r="D138" s="6"/>
      <c r="E138" s="6"/>
      <c r="F138" s="6"/>
      <c r="G138" s="6"/>
      <c r="H138" s="6"/>
      <c r="I138" s="119"/>
    </row>
    <row r="139" spans="1:9" x14ac:dyDescent="0.25">
      <c r="I139" s="119"/>
    </row>
    <row r="141" spans="1:9" x14ac:dyDescent="0.25">
      <c r="A141" s="149" t="s">
        <v>204</v>
      </c>
      <c r="B141" s="149"/>
    </row>
    <row r="142" spans="1:9" x14ac:dyDescent="0.25">
      <c r="A142" s="149" t="s">
        <v>205</v>
      </c>
      <c r="B142" s="149"/>
    </row>
    <row r="143" spans="1:9" x14ac:dyDescent="0.25">
      <c r="A143" s="149"/>
      <c r="B143" s="149"/>
    </row>
    <row r="144" spans="1:9" x14ac:dyDescent="0.25">
      <c r="A144" s="149"/>
      <c r="B144" s="149"/>
    </row>
    <row r="145" spans="1:8" ht="38.25" customHeight="1" x14ac:dyDescent="0.25">
      <c r="A145" s="293" t="s">
        <v>207</v>
      </c>
      <c r="B145" s="293"/>
      <c r="C145" s="293"/>
      <c r="D145" s="293"/>
      <c r="E145" s="293"/>
      <c r="F145" s="293"/>
      <c r="G145" s="293"/>
      <c r="H145" s="293"/>
    </row>
    <row r="147" spans="1:8" x14ac:dyDescent="0.25">
      <c r="A147" t="s">
        <v>208</v>
      </c>
    </row>
    <row r="148" spans="1:8" x14ac:dyDescent="0.25">
      <c r="A148" s="149" t="s">
        <v>209</v>
      </c>
    </row>
    <row r="149" spans="1:8" x14ac:dyDescent="0.25">
      <c r="A149" s="149" t="s">
        <v>210</v>
      </c>
    </row>
    <row r="150" spans="1:8" x14ac:dyDescent="0.25">
      <c r="A150" s="149"/>
    </row>
    <row r="151" spans="1:8" ht="49.5" customHeight="1" x14ac:dyDescent="0.25">
      <c r="A151" s="293" t="s">
        <v>211</v>
      </c>
      <c r="B151" s="293"/>
      <c r="C151" s="293"/>
      <c r="D151" s="293"/>
      <c r="E151" s="293"/>
      <c r="F151" s="293"/>
      <c r="G151" s="293"/>
      <c r="H151" s="293"/>
    </row>
    <row r="152" spans="1:8" x14ac:dyDescent="0.25">
      <c r="A152" s="149"/>
    </row>
    <row r="153" spans="1:8" x14ac:dyDescent="0.25">
      <c r="A153" s="293" t="s">
        <v>212</v>
      </c>
      <c r="B153" s="293"/>
      <c r="C153" s="293"/>
      <c r="D153" s="293"/>
      <c r="E153" s="293"/>
      <c r="F153" s="293"/>
      <c r="G153" s="293"/>
      <c r="H153" s="293"/>
    </row>
    <row r="154" spans="1:8" ht="46.5" customHeight="1" x14ac:dyDescent="0.25">
      <c r="A154" s="293"/>
      <c r="B154" s="293"/>
      <c r="C154" s="293"/>
      <c r="D154" s="293"/>
      <c r="E154" s="293"/>
      <c r="F154" s="293"/>
      <c r="G154" s="293"/>
      <c r="H154" s="293"/>
    </row>
    <row r="155" spans="1:8" x14ac:dyDescent="0.25">
      <c r="A155" s="149"/>
    </row>
    <row r="156" spans="1:8" ht="31.5" customHeight="1" x14ac:dyDescent="0.25">
      <c r="A156" s="293" t="s">
        <v>207</v>
      </c>
      <c r="B156" s="293"/>
      <c r="C156" s="293"/>
      <c r="D156" s="293"/>
      <c r="E156" s="293"/>
      <c r="F156" s="293"/>
      <c r="G156" s="293"/>
      <c r="H156" s="293"/>
    </row>
    <row r="157" spans="1:8" ht="36.75" customHeight="1" x14ac:dyDescent="0.25">
      <c r="A157" s="293" t="s">
        <v>223</v>
      </c>
      <c r="B157" s="293"/>
      <c r="C157" s="293"/>
      <c r="D157" s="293"/>
      <c r="E157" s="293"/>
      <c r="F157" s="293"/>
      <c r="G157" s="293"/>
      <c r="H157" s="293"/>
    </row>
    <row r="158" spans="1:8" x14ac:dyDescent="0.25">
      <c r="B158" s="150" t="s">
        <v>214</v>
      </c>
      <c r="C158" s="151"/>
      <c r="D158" s="151"/>
      <c r="E158" s="151"/>
      <c r="F158" s="151"/>
    </row>
    <row r="159" spans="1:8" x14ac:dyDescent="0.25">
      <c r="B159" s="150"/>
      <c r="C159" s="151"/>
      <c r="D159" s="151"/>
      <c r="E159" s="151"/>
      <c r="F159" s="151"/>
    </row>
    <row r="160" spans="1:8" x14ac:dyDescent="0.25">
      <c r="B160" s="150" t="s">
        <v>215</v>
      </c>
      <c r="C160" s="151" t="s">
        <v>216</v>
      </c>
      <c r="D160" s="151" t="s">
        <v>217</v>
      </c>
      <c r="E160" s="151" t="s">
        <v>218</v>
      </c>
      <c r="F160" s="151" t="s">
        <v>219</v>
      </c>
    </row>
    <row r="161" spans="1:8" x14ac:dyDescent="0.25">
      <c r="B161" s="150" t="s">
        <v>220</v>
      </c>
      <c r="C161" s="152">
        <v>1.6500000000000001E-2</v>
      </c>
      <c r="D161" s="152">
        <v>7.5999999999999998E-2</v>
      </c>
      <c r="E161" s="153">
        <v>0.05</v>
      </c>
      <c r="F161" s="151">
        <v>0.85750000000000004</v>
      </c>
    </row>
    <row r="162" spans="1:8" x14ac:dyDescent="0.25">
      <c r="B162" s="150" t="s">
        <v>221</v>
      </c>
      <c r="C162" s="152">
        <v>6.4999999999999997E-3</v>
      </c>
      <c r="D162" s="153">
        <v>0.03</v>
      </c>
      <c r="E162" s="153">
        <v>0.05</v>
      </c>
      <c r="F162" s="151">
        <v>0.91349999999999998</v>
      </c>
    </row>
    <row r="163" spans="1:8" x14ac:dyDescent="0.25">
      <c r="B163" s="150" t="s">
        <v>222</v>
      </c>
      <c r="C163" s="152">
        <v>4.4000000000000003E-3</v>
      </c>
      <c r="D163" s="152">
        <v>2.35E-2</v>
      </c>
      <c r="E163" s="153">
        <v>0.05</v>
      </c>
      <c r="F163" s="151">
        <v>0.92210000000000003</v>
      </c>
    </row>
    <row r="165" spans="1:8" ht="45" customHeight="1" x14ac:dyDescent="0.25">
      <c r="A165" s="292" t="s">
        <v>225</v>
      </c>
      <c r="B165" s="292"/>
      <c r="C165" s="292"/>
      <c r="D165" s="292"/>
      <c r="E165" s="292"/>
      <c r="F165" s="292"/>
      <c r="G165" s="292"/>
      <c r="H165" s="292"/>
    </row>
  </sheetData>
  <mergeCells count="57">
    <mergeCell ref="B118:H118"/>
    <mergeCell ref="B127:H127"/>
    <mergeCell ref="B133:H133"/>
    <mergeCell ref="C84:C89"/>
    <mergeCell ref="E84:E89"/>
    <mergeCell ref="B93:H93"/>
    <mergeCell ref="A97:H97"/>
    <mergeCell ref="B101:H101"/>
    <mergeCell ref="B108:H108"/>
    <mergeCell ref="B82:H82"/>
    <mergeCell ref="A60:A62"/>
    <mergeCell ref="D60:D61"/>
    <mergeCell ref="E60:E61"/>
    <mergeCell ref="F60:F61"/>
    <mergeCell ref="G60:G61"/>
    <mergeCell ref="B62:E62"/>
    <mergeCell ref="B63:E63"/>
    <mergeCell ref="B67:E67"/>
    <mergeCell ref="A68:H68"/>
    <mergeCell ref="B73:H73"/>
    <mergeCell ref="B81:H81"/>
    <mergeCell ref="B55:H55"/>
    <mergeCell ref="A57:A59"/>
    <mergeCell ref="D57:D58"/>
    <mergeCell ref="E57:E58"/>
    <mergeCell ref="F57:F58"/>
    <mergeCell ref="G57:G58"/>
    <mergeCell ref="D47:E48"/>
    <mergeCell ref="E18:H18"/>
    <mergeCell ref="B19:H19"/>
    <mergeCell ref="A20:H20"/>
    <mergeCell ref="D21:H21"/>
    <mergeCell ref="D22:H22"/>
    <mergeCell ref="D24:H24"/>
    <mergeCell ref="D25:H25"/>
    <mergeCell ref="B26:H26"/>
    <mergeCell ref="B39:H39"/>
    <mergeCell ref="B40:H40"/>
    <mergeCell ref="B45:H45"/>
    <mergeCell ref="E17:H17"/>
    <mergeCell ref="A3:H3"/>
    <mergeCell ref="E4:H6"/>
    <mergeCell ref="A7:D7"/>
    <mergeCell ref="A8:H8"/>
    <mergeCell ref="D9:H9"/>
    <mergeCell ref="D10:H10"/>
    <mergeCell ref="D11:H11"/>
    <mergeCell ref="D12:H12"/>
    <mergeCell ref="A14:H14"/>
    <mergeCell ref="E15:H15"/>
    <mergeCell ref="E16:H16"/>
    <mergeCell ref="A165:H165"/>
    <mergeCell ref="A145:H145"/>
    <mergeCell ref="A151:H151"/>
    <mergeCell ref="A153:H154"/>
    <mergeCell ref="A156:H156"/>
    <mergeCell ref="A157:H157"/>
  </mergeCells>
  <dataValidations count="4">
    <dataValidation type="list" operator="equal" allowBlank="1" showErrorMessage="1" promptTitle="Percentual" sqref="E31">
      <formula1>$K$28:$K$31</formula1>
      <formula2>0</formula2>
    </dataValidation>
    <dataValidation type="list" operator="equal" allowBlank="1" showErrorMessage="1" sqref="D31">
      <formula1>$J$28:$J$31</formula1>
      <formula2>0</formula2>
    </dataValidation>
    <dataValidation type="list" operator="equal" allowBlank="1" showErrorMessage="1" sqref="E28">
      <formula1>$K$33:$K$34</formula1>
      <formula2>0</formula2>
    </dataValidation>
    <dataValidation type="list" operator="equal" allowBlank="1" showErrorMessage="1" sqref="D28">
      <formula1>$J$33:$J$34</formula1>
      <formula2>0</formula2>
    </dataValidation>
  </dataValidations>
  <pageMargins left="0.7" right="0.7" top="0.75" bottom="0.75" header="0.3" footer="0.3"/>
  <pageSetup scale="45"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tabSelected="1" workbookViewId="0">
      <selection activeCell="D18" sqref="D18"/>
    </sheetView>
  </sheetViews>
  <sheetFormatPr defaultRowHeight="15" x14ac:dyDescent="0.25"/>
  <cols>
    <col min="1" max="1" width="9.7109375" customWidth="1"/>
    <col min="2" max="2" width="5.140625" bestFit="1" customWidth="1"/>
    <col min="3" max="3" width="56.28515625" customWidth="1"/>
    <col min="4" max="4" width="16.42578125" bestFit="1" customWidth="1"/>
    <col min="5" max="5" width="13.140625" bestFit="1" customWidth="1"/>
    <col min="6" max="6" width="14.5703125" customWidth="1"/>
    <col min="7" max="7" width="15.28515625" customWidth="1"/>
    <col min="8" max="8" width="13.140625" customWidth="1"/>
  </cols>
  <sheetData>
    <row r="1" spans="1:8" x14ac:dyDescent="0.25">
      <c r="A1" s="308" t="s">
        <v>201</v>
      </c>
      <c r="B1" s="309"/>
      <c r="C1" s="309"/>
      <c r="D1" s="309"/>
      <c r="E1" s="309"/>
      <c r="F1" s="309"/>
      <c r="G1" s="309"/>
    </row>
    <row r="2" spans="1:8" ht="0.75" hidden="1" customHeight="1" x14ac:dyDescent="0.25">
      <c r="A2" s="138" t="s">
        <v>188</v>
      </c>
      <c r="B2" s="138" t="s">
        <v>189</v>
      </c>
      <c r="C2" s="139" t="s">
        <v>190</v>
      </c>
      <c r="D2" s="139" t="s">
        <v>191</v>
      </c>
      <c r="E2" s="139" t="s">
        <v>192</v>
      </c>
      <c r="F2" s="139" t="s">
        <v>193</v>
      </c>
    </row>
    <row r="3" spans="1:8" ht="15" hidden="1" customHeight="1" x14ac:dyDescent="0.25">
      <c r="A3" s="313">
        <v>1</v>
      </c>
      <c r="B3" s="140">
        <v>1</v>
      </c>
      <c r="C3" s="144" t="s">
        <v>196</v>
      </c>
      <c r="D3" s="141">
        <f>'ASG ANGICOS'!H134</f>
        <v>2191.4584685146447</v>
      </c>
      <c r="E3" s="145">
        <f>'ASG ANGICOS'!E129</f>
        <v>10</v>
      </c>
      <c r="F3" s="142">
        <f>E3*D3</f>
        <v>21914.584685146445</v>
      </c>
    </row>
    <row r="4" spans="1:8" ht="15" hidden="1" customHeight="1" x14ac:dyDescent="0.25">
      <c r="A4" s="313"/>
      <c r="B4" s="140">
        <v>2</v>
      </c>
      <c r="C4" s="144" t="s">
        <v>197</v>
      </c>
      <c r="D4" s="141">
        <f>'ASG ANGICOS'!H134</f>
        <v>2191.4584685146447</v>
      </c>
      <c r="E4" s="145">
        <f>'ALD ANGICOS'!E129</f>
        <v>5</v>
      </c>
      <c r="F4" s="142">
        <f t="shared" ref="F4:F7" si="0">E4*D4</f>
        <v>10957.292342573222</v>
      </c>
    </row>
    <row r="5" spans="1:8" ht="15" hidden="1" customHeight="1" x14ac:dyDescent="0.25">
      <c r="A5" s="313"/>
      <c r="B5" s="140">
        <v>3</v>
      </c>
      <c r="C5" s="144" t="s">
        <v>198</v>
      </c>
      <c r="D5" s="141">
        <f>'JARDINEIRO ANGICOS'!H135</f>
        <v>2878.1016910828889</v>
      </c>
      <c r="E5" s="145">
        <f>'JARDINEIRO ANGICOS'!E130</f>
        <v>3</v>
      </c>
      <c r="F5" s="142">
        <f t="shared" si="0"/>
        <v>8634.3050732486663</v>
      </c>
    </row>
    <row r="6" spans="1:8" ht="15" hidden="1" customHeight="1" x14ac:dyDescent="0.25">
      <c r="A6" s="313"/>
      <c r="B6" s="140">
        <v>4</v>
      </c>
      <c r="C6" s="144" t="s">
        <v>199</v>
      </c>
      <c r="D6" s="141">
        <f>'ENCARREGADO ANGICOS'!H135</f>
        <v>2493.5614003330261</v>
      </c>
      <c r="E6" s="145">
        <f>'ENCARREGADO ANGICOS'!E130</f>
        <v>1</v>
      </c>
      <c r="F6" s="142">
        <f t="shared" si="0"/>
        <v>2493.5614003330261</v>
      </c>
    </row>
    <row r="7" spans="1:8" ht="15" hidden="1" customHeight="1" x14ac:dyDescent="0.25">
      <c r="A7" s="313"/>
      <c r="B7" s="140">
        <v>5</v>
      </c>
      <c r="C7" s="144" t="s">
        <v>200</v>
      </c>
      <c r="D7" s="141">
        <f>'COPEIRA ANGICOS'!H135</f>
        <v>2353.0768240878147</v>
      </c>
      <c r="E7" s="145">
        <f>'COPEIRA ANGICOS'!E130</f>
        <v>1</v>
      </c>
      <c r="F7" s="142">
        <f t="shared" si="0"/>
        <v>2353.0768240878147</v>
      </c>
    </row>
    <row r="8" spans="1:8" hidden="1" x14ac:dyDescent="0.25">
      <c r="A8" s="314" t="s">
        <v>194</v>
      </c>
      <c r="B8" s="314"/>
      <c r="C8" s="314"/>
      <c r="D8" s="314"/>
      <c r="E8" s="314"/>
      <c r="F8" s="143">
        <f>SUM(F3:F7)</f>
        <v>46352.820325389177</v>
      </c>
    </row>
    <row r="9" spans="1:8" hidden="1" x14ac:dyDescent="0.25">
      <c r="A9" s="314" t="s">
        <v>202</v>
      </c>
      <c r="B9" s="314"/>
      <c r="C9" s="314"/>
      <c r="D9" s="314"/>
      <c r="E9" s="314"/>
      <c r="F9" s="143">
        <f>F8*12</f>
        <v>556233.8439046701</v>
      </c>
      <c r="H9" s="147"/>
    </row>
    <row r="10" spans="1:8" ht="15" hidden="1" customHeight="1" x14ac:dyDescent="0.25">
      <c r="A10" s="313">
        <v>2</v>
      </c>
      <c r="B10" s="140">
        <v>6</v>
      </c>
      <c r="C10" s="144" t="s">
        <v>196</v>
      </c>
      <c r="D10" s="141">
        <f>'ASG CARAÚBAS'!H134</f>
        <v>2191.1681280658213</v>
      </c>
      <c r="E10" s="145">
        <f>'ASG CARAÚBAS'!E129</f>
        <v>11</v>
      </c>
      <c r="F10" s="142">
        <f>E10*D10</f>
        <v>24102.849408724032</v>
      </c>
    </row>
    <row r="11" spans="1:8" ht="15" hidden="1" customHeight="1" x14ac:dyDescent="0.25">
      <c r="A11" s="313"/>
      <c r="B11" s="140">
        <v>7</v>
      </c>
      <c r="C11" s="144" t="s">
        <v>197</v>
      </c>
      <c r="D11" s="141">
        <f>'ALD CARAÚBAS'!H134</f>
        <v>2860.5841180852158</v>
      </c>
      <c r="E11" s="145">
        <f>'ALD CARAÚBAS'!E129</f>
        <v>5</v>
      </c>
      <c r="F11" s="142">
        <f t="shared" ref="F11:F14" si="1">E11*D11</f>
        <v>14302.920590426078</v>
      </c>
    </row>
    <row r="12" spans="1:8" ht="15" hidden="1" customHeight="1" x14ac:dyDescent="0.25">
      <c r="A12" s="313"/>
      <c r="B12" s="140">
        <v>8</v>
      </c>
      <c r="C12" s="144" t="s">
        <v>198</v>
      </c>
      <c r="D12" s="141">
        <f>'JARDINEIRO CARAÚBAS'!H135</f>
        <v>2898.414355560174</v>
      </c>
      <c r="E12" s="145">
        <f>'JARDINEIRO CARAÚBAS'!E130</f>
        <v>3</v>
      </c>
      <c r="F12" s="142">
        <f t="shared" si="1"/>
        <v>8695.243066680523</v>
      </c>
    </row>
    <row r="13" spans="1:8" ht="15" hidden="1" customHeight="1" x14ac:dyDescent="0.25">
      <c r="A13" s="313"/>
      <c r="B13" s="140">
        <v>9</v>
      </c>
      <c r="C13" s="144" t="s">
        <v>199</v>
      </c>
      <c r="D13" s="141">
        <f>'ENCARREGADO CARAÚBAS'!H135</f>
        <v>2493.2710598842023</v>
      </c>
      <c r="E13" s="145">
        <f>'ENCARREGADO CARAÚBAS'!E130</f>
        <v>1</v>
      </c>
      <c r="F13" s="142">
        <f t="shared" si="1"/>
        <v>2493.2710598842023</v>
      </c>
    </row>
    <row r="14" spans="1:8" ht="15" hidden="1" customHeight="1" x14ac:dyDescent="0.25">
      <c r="A14" s="313"/>
      <c r="B14" s="140">
        <v>10</v>
      </c>
      <c r="C14" s="144" t="s">
        <v>200</v>
      </c>
      <c r="D14" s="141">
        <f>'COPEIRA CARAÚBAS'!H135</f>
        <v>2352.7864836389917</v>
      </c>
      <c r="E14" s="145">
        <f>'COPEIRA CARAÚBAS'!E130</f>
        <v>1</v>
      </c>
      <c r="F14" s="142">
        <f t="shared" si="1"/>
        <v>2352.7864836389917</v>
      </c>
    </row>
    <row r="15" spans="1:8" hidden="1" x14ac:dyDescent="0.25">
      <c r="A15" s="314" t="s">
        <v>195</v>
      </c>
      <c r="B15" s="314"/>
      <c r="C15" s="314"/>
      <c r="D15" s="314"/>
      <c r="E15" s="314"/>
      <c r="F15" s="143">
        <f>SUM(F10:F14)</f>
        <v>51947.070609353832</v>
      </c>
    </row>
    <row r="16" spans="1:8" hidden="1" x14ac:dyDescent="0.25">
      <c r="A16" s="314" t="s">
        <v>202</v>
      </c>
      <c r="B16" s="314"/>
      <c r="C16" s="314"/>
      <c r="D16" s="314"/>
      <c r="E16" s="314"/>
      <c r="F16" s="143">
        <f>F15*12</f>
        <v>623364.84731224598</v>
      </c>
    </row>
    <row r="17" spans="1:8" ht="60" x14ac:dyDescent="0.25">
      <c r="A17" s="262" t="s">
        <v>258</v>
      </c>
      <c r="B17" s="262" t="s">
        <v>246</v>
      </c>
      <c r="C17" s="262" t="s">
        <v>259</v>
      </c>
      <c r="D17" s="262" t="s">
        <v>247</v>
      </c>
      <c r="E17" s="262" t="s">
        <v>248</v>
      </c>
      <c r="F17" s="263" t="s">
        <v>260</v>
      </c>
      <c r="G17" s="264" t="s">
        <v>261</v>
      </c>
    </row>
    <row r="18" spans="1:8" ht="15" customHeight="1" x14ac:dyDescent="0.25">
      <c r="A18" s="313">
        <v>2</v>
      </c>
      <c r="B18" s="140">
        <v>6</v>
      </c>
      <c r="C18" s="144" t="s">
        <v>250</v>
      </c>
      <c r="D18" s="141">
        <f>'ASG PAU DOS FERROS'!D129</f>
        <v>2752.3587106709651</v>
      </c>
      <c r="E18" s="140">
        <f>'ASG PAU DOS FERROS'!E129</f>
        <v>14</v>
      </c>
      <c r="F18" s="142">
        <f>E18*D18</f>
        <v>38533.021949393515</v>
      </c>
      <c r="G18" s="142">
        <f>F18*12</f>
        <v>462396.26339272218</v>
      </c>
    </row>
    <row r="19" spans="1:8" x14ac:dyDescent="0.25">
      <c r="A19" s="313"/>
      <c r="B19" s="140">
        <v>7</v>
      </c>
      <c r="C19" s="144" t="s">
        <v>179</v>
      </c>
      <c r="D19" s="141">
        <f>'ALD PAU DOS FERROS'!D129</f>
        <v>3598.1427391592947</v>
      </c>
      <c r="E19" s="140">
        <f>'ALD PAU DOS FERROS'!E129</f>
        <v>6</v>
      </c>
      <c r="F19" s="142">
        <f>E19*D19</f>
        <v>21588.856434955767</v>
      </c>
      <c r="G19" s="142">
        <f t="shared" ref="G19:G22" si="2">F19*12</f>
        <v>259066.27721946919</v>
      </c>
    </row>
    <row r="20" spans="1:8" x14ac:dyDescent="0.25">
      <c r="A20" s="313"/>
      <c r="B20" s="140">
        <v>8</v>
      </c>
      <c r="C20" s="265" t="s">
        <v>262</v>
      </c>
      <c r="D20" s="141">
        <f>'COPEIRA PAU DOS FERROS'!D130</f>
        <v>2945.0598971564964</v>
      </c>
      <c r="E20" s="140">
        <f>'COPEIRA PAU DOS FERROS'!E130</f>
        <v>1</v>
      </c>
      <c r="F20" s="142">
        <f t="shared" ref="F20:F22" si="3">E20*D20</f>
        <v>2945.0598971564964</v>
      </c>
      <c r="G20" s="142">
        <f t="shared" si="2"/>
        <v>35340.718765877959</v>
      </c>
    </row>
    <row r="21" spans="1:8" x14ac:dyDescent="0.25">
      <c r="A21" s="313"/>
      <c r="B21" s="140">
        <v>9</v>
      </c>
      <c r="C21" s="265" t="s">
        <v>182</v>
      </c>
      <c r="D21" s="141">
        <f>'ENCARREGADO PAU DOS FERROS'!D130</f>
        <v>3119.5381859388499</v>
      </c>
      <c r="E21" s="140">
        <f>'ENCARREGADO PAU DOS FERROS'!E130</f>
        <v>1</v>
      </c>
      <c r="F21" s="142">
        <f t="shared" si="3"/>
        <v>3119.5381859388499</v>
      </c>
      <c r="G21" s="142">
        <f t="shared" si="2"/>
        <v>37434.458231266195</v>
      </c>
      <c r="H21" s="119"/>
    </row>
    <row r="22" spans="1:8" x14ac:dyDescent="0.25">
      <c r="A22" s="313"/>
      <c r="B22" s="140">
        <v>10</v>
      </c>
      <c r="C22" s="265" t="s">
        <v>181</v>
      </c>
      <c r="D22" s="141">
        <f>'JARDINEIRO PAU DOS FERROS'!D130</f>
        <v>3265.6278418398933</v>
      </c>
      <c r="E22" s="140">
        <f>'JARDINEIRO PAU DOS FERROS'!E130</f>
        <v>4</v>
      </c>
      <c r="F22" s="142">
        <f t="shared" si="3"/>
        <v>13062.511367359573</v>
      </c>
      <c r="G22" s="142">
        <f t="shared" si="2"/>
        <v>156750.13640831487</v>
      </c>
      <c r="H22" s="119"/>
    </row>
    <row r="23" spans="1:8" x14ac:dyDescent="0.25">
      <c r="A23" s="310" t="s">
        <v>202</v>
      </c>
      <c r="B23" s="311"/>
      <c r="C23" s="311"/>
      <c r="D23" s="311"/>
      <c r="E23" s="311"/>
      <c r="F23" s="312"/>
      <c r="G23" s="266">
        <f>SUM(G18:G22)</f>
        <v>950987.85401765048</v>
      </c>
      <c r="H23" s="119"/>
    </row>
    <row r="24" spans="1:8" x14ac:dyDescent="0.25">
      <c r="H24" s="119"/>
    </row>
    <row r="25" spans="1:8" x14ac:dyDescent="0.25">
      <c r="H25" s="119"/>
    </row>
    <row r="26" spans="1:8" x14ac:dyDescent="0.25">
      <c r="H26" s="119"/>
    </row>
    <row r="27" spans="1:8" x14ac:dyDescent="0.25">
      <c r="F27" s="146"/>
    </row>
  </sheetData>
  <mergeCells count="9">
    <mergeCell ref="A1:G1"/>
    <mergeCell ref="A23:F23"/>
    <mergeCell ref="A18:A22"/>
    <mergeCell ref="A3:A7"/>
    <mergeCell ref="A8:E8"/>
    <mergeCell ref="A10:A14"/>
    <mergeCell ref="A15:E15"/>
    <mergeCell ref="A9:E9"/>
    <mergeCell ref="A16:E16"/>
  </mergeCells>
  <pageMargins left="0.51181102362204722" right="0.51181102362204722" top="0.78740157480314965" bottom="0.78740157480314965"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65"/>
  <sheetViews>
    <sheetView topLeftCell="A100" zoomScale="70" zoomScaleNormal="70" workbookViewId="0">
      <selection activeCell="H84" sqref="H84"/>
    </sheetView>
  </sheetViews>
  <sheetFormatPr defaultRowHeight="15" x14ac:dyDescent="0.25"/>
  <cols>
    <col min="1" max="1" width="4.85546875" bestFit="1" customWidth="1"/>
    <col min="2" max="2" width="54.85546875" customWidth="1"/>
    <col min="3" max="3" width="11.5703125" customWidth="1"/>
    <col min="4" max="4" width="34" customWidth="1"/>
    <col min="5" max="5" width="18" customWidth="1"/>
    <col min="6" max="6" width="25.28515625" bestFit="1" customWidth="1"/>
    <col min="7" max="7" width="11.5703125" bestFit="1" customWidth="1"/>
    <col min="8" max="8" width="27.5703125" bestFit="1" customWidth="1"/>
    <col min="9" max="9" width="14.85546875" bestFit="1" customWidth="1"/>
    <col min="10" max="10" width="13.85546875" bestFit="1" customWidth="1"/>
  </cols>
  <sheetData>
    <row r="1" spans="1:8" x14ac:dyDescent="0.25">
      <c r="A1" s="1"/>
      <c r="B1" s="1"/>
      <c r="C1" s="1"/>
      <c r="D1" s="1"/>
      <c r="E1" s="1"/>
      <c r="F1" s="1"/>
      <c r="G1" s="1"/>
      <c r="H1" s="2"/>
    </row>
    <row r="2" spans="1:8" ht="15.75" x14ac:dyDescent="0.25">
      <c r="A2" s="3"/>
      <c r="B2" s="3" t="s">
        <v>0</v>
      </c>
      <c r="C2" s="3"/>
      <c r="D2" s="4" t="s">
        <v>1</v>
      </c>
      <c r="E2" s="3"/>
      <c r="F2" s="3" t="s">
        <v>2</v>
      </c>
      <c r="G2" s="3"/>
      <c r="H2" s="5" t="s">
        <v>156</v>
      </c>
    </row>
    <row r="3" spans="1:8" ht="15.75" x14ac:dyDescent="0.25">
      <c r="A3" s="269" t="s">
        <v>3</v>
      </c>
      <c r="B3" s="269"/>
      <c r="C3" s="269"/>
      <c r="D3" s="269"/>
      <c r="E3" s="269"/>
      <c r="F3" s="269"/>
      <c r="G3" s="269"/>
      <c r="H3" s="269"/>
    </row>
    <row r="4" spans="1:8" ht="15.75" x14ac:dyDescent="0.25">
      <c r="A4" s="6" t="s">
        <v>4</v>
      </c>
      <c r="B4" s="7" t="s">
        <v>5</v>
      </c>
      <c r="C4" s="7"/>
      <c r="D4" s="8"/>
      <c r="E4" s="287" t="s">
        <v>6</v>
      </c>
      <c r="F4" s="287"/>
      <c r="G4" s="287"/>
      <c r="H4" s="287"/>
    </row>
    <row r="5" spans="1:8" ht="15.75" x14ac:dyDescent="0.25">
      <c r="A5" s="6" t="s">
        <v>7</v>
      </c>
      <c r="B5" s="7" t="s">
        <v>8</v>
      </c>
      <c r="C5" s="7"/>
      <c r="D5" s="9"/>
      <c r="E5" s="287"/>
      <c r="F5" s="287"/>
      <c r="G5" s="287"/>
      <c r="H5" s="287"/>
    </row>
    <row r="6" spans="1:8" ht="15.75" x14ac:dyDescent="0.25">
      <c r="A6" s="6" t="s">
        <v>9</v>
      </c>
      <c r="B6" s="7" t="s">
        <v>10</v>
      </c>
      <c r="C6" s="7"/>
      <c r="D6" s="10" t="s">
        <v>11</v>
      </c>
      <c r="E6" s="287"/>
      <c r="F6" s="287"/>
      <c r="G6" s="287"/>
      <c r="H6" s="287"/>
    </row>
    <row r="7" spans="1:8" ht="15.75" x14ac:dyDescent="0.25">
      <c r="A7" s="288"/>
      <c r="B7" s="288"/>
      <c r="C7" s="288"/>
      <c r="D7" s="288"/>
      <c r="E7" s="11"/>
      <c r="F7" s="11"/>
      <c r="G7" s="11"/>
      <c r="H7" s="11"/>
    </row>
    <row r="8" spans="1:8" ht="15.75" x14ac:dyDescent="0.25">
      <c r="A8" s="269" t="s">
        <v>12</v>
      </c>
      <c r="B8" s="269"/>
      <c r="C8" s="269"/>
      <c r="D8" s="269"/>
      <c r="E8" s="269"/>
      <c r="F8" s="269"/>
      <c r="G8" s="269"/>
      <c r="H8" s="269"/>
    </row>
    <row r="9" spans="1:8" x14ac:dyDescent="0.25">
      <c r="A9" s="12" t="s">
        <v>4</v>
      </c>
      <c r="B9" s="13" t="s">
        <v>13</v>
      </c>
      <c r="C9" s="13"/>
      <c r="D9" s="281" t="s">
        <v>14</v>
      </c>
      <c r="E9" s="281"/>
      <c r="F9" s="281"/>
      <c r="G9" s="281"/>
      <c r="H9" s="281"/>
    </row>
    <row r="10" spans="1:8" x14ac:dyDescent="0.25">
      <c r="A10" s="12" t="s">
        <v>7</v>
      </c>
      <c r="B10" s="13" t="s">
        <v>15</v>
      </c>
      <c r="C10" s="13"/>
      <c r="D10" s="289" t="s">
        <v>186</v>
      </c>
      <c r="E10" s="289"/>
      <c r="F10" s="289"/>
      <c r="G10" s="289"/>
      <c r="H10" s="289"/>
    </row>
    <row r="11" spans="1:8" x14ac:dyDescent="0.25">
      <c r="A11" s="12" t="s">
        <v>9</v>
      </c>
      <c r="B11" s="13" t="s">
        <v>16</v>
      </c>
      <c r="C11" s="13"/>
      <c r="D11" s="289" t="s">
        <v>174</v>
      </c>
      <c r="E11" s="289"/>
      <c r="F11" s="289"/>
      <c r="G11" s="289"/>
      <c r="H11" s="289"/>
    </row>
    <row r="12" spans="1:8" x14ac:dyDescent="0.25">
      <c r="A12" s="12" t="s">
        <v>17</v>
      </c>
      <c r="B12" s="13" t="s">
        <v>18</v>
      </c>
      <c r="C12" s="13"/>
      <c r="D12" s="289">
        <v>12</v>
      </c>
      <c r="E12" s="289"/>
      <c r="F12" s="289"/>
      <c r="G12" s="289"/>
      <c r="H12" s="289"/>
    </row>
    <row r="13" spans="1:8" x14ac:dyDescent="0.25">
      <c r="A13" s="12"/>
      <c r="B13" s="13"/>
      <c r="C13" s="13"/>
      <c r="D13" s="14"/>
      <c r="E13" s="14"/>
      <c r="F13" s="14"/>
      <c r="G13" s="14"/>
      <c r="H13" s="15"/>
    </row>
    <row r="14" spans="1:8" ht="15.75" x14ac:dyDescent="0.25">
      <c r="A14" s="269" t="s">
        <v>19</v>
      </c>
      <c r="B14" s="269"/>
      <c r="C14" s="269"/>
      <c r="D14" s="269"/>
      <c r="E14" s="269"/>
      <c r="F14" s="269"/>
      <c r="G14" s="269"/>
      <c r="H14" s="269"/>
    </row>
    <row r="15" spans="1:8" ht="15.75" x14ac:dyDescent="0.25">
      <c r="A15" s="12"/>
      <c r="B15" s="16" t="s">
        <v>20</v>
      </c>
      <c r="C15" s="16"/>
      <c r="D15" s="17" t="s">
        <v>21</v>
      </c>
      <c r="E15" s="290" t="s">
        <v>22</v>
      </c>
      <c r="F15" s="290"/>
      <c r="G15" s="290"/>
      <c r="H15" s="290"/>
    </row>
    <row r="16" spans="1:8" x14ac:dyDescent="0.25">
      <c r="A16" s="12" t="s">
        <v>4</v>
      </c>
      <c r="B16" s="18" t="s">
        <v>180</v>
      </c>
      <c r="C16" s="19"/>
      <c r="D16" s="20" t="s">
        <v>23</v>
      </c>
      <c r="E16" s="291">
        <v>1</v>
      </c>
      <c r="F16" s="291"/>
      <c r="G16" s="291"/>
      <c r="H16" s="291"/>
    </row>
    <row r="17" spans="1:13" x14ac:dyDescent="0.25">
      <c r="A17" s="12" t="s">
        <v>7</v>
      </c>
      <c r="B17" s="13"/>
      <c r="C17" s="13"/>
      <c r="D17" s="21"/>
      <c r="E17" s="279"/>
      <c r="F17" s="279"/>
      <c r="G17" s="279"/>
      <c r="H17" s="279"/>
    </row>
    <row r="18" spans="1:13" x14ac:dyDescent="0.25">
      <c r="A18" s="12" t="s">
        <v>9</v>
      </c>
      <c r="B18" s="13"/>
      <c r="C18" s="13"/>
      <c r="D18" s="21"/>
      <c r="E18" s="279"/>
      <c r="F18" s="279"/>
      <c r="G18" s="279"/>
      <c r="H18" s="279"/>
    </row>
    <row r="19" spans="1:13" ht="15.75" x14ac:dyDescent="0.25">
      <c r="A19" s="110"/>
      <c r="B19" s="269" t="s">
        <v>24</v>
      </c>
      <c r="C19" s="269"/>
      <c r="D19" s="269"/>
      <c r="E19" s="269"/>
      <c r="F19" s="269"/>
      <c r="G19" s="269"/>
      <c r="H19" s="269"/>
    </row>
    <row r="20" spans="1:13" ht="15.75" x14ac:dyDescent="0.25">
      <c r="A20" s="280" t="s">
        <v>25</v>
      </c>
      <c r="B20" s="280"/>
      <c r="C20" s="280"/>
      <c r="D20" s="280"/>
      <c r="E20" s="280"/>
      <c r="F20" s="280"/>
      <c r="G20" s="280"/>
      <c r="H20" s="280"/>
    </row>
    <row r="21" spans="1:13" x14ac:dyDescent="0.25">
      <c r="A21" s="12">
        <v>1</v>
      </c>
      <c r="B21" s="13" t="s">
        <v>20</v>
      </c>
      <c r="C21" s="13"/>
      <c r="D21" s="281" t="s">
        <v>175</v>
      </c>
      <c r="E21" s="281"/>
      <c r="F21" s="281"/>
      <c r="G21" s="281"/>
      <c r="H21" s="281"/>
    </row>
    <row r="22" spans="1:13" x14ac:dyDescent="0.25">
      <c r="A22" s="12">
        <v>2</v>
      </c>
      <c r="B22" s="13" t="s">
        <v>26</v>
      </c>
      <c r="C22" s="13"/>
      <c r="D22" s="282" t="s">
        <v>176</v>
      </c>
      <c r="E22" s="282"/>
      <c r="F22" s="282"/>
      <c r="G22" s="282"/>
      <c r="H22" s="282"/>
    </row>
    <row r="23" spans="1:13" x14ac:dyDescent="0.25">
      <c r="A23" s="12">
        <v>3</v>
      </c>
      <c r="B23" s="13" t="s">
        <v>27</v>
      </c>
      <c r="C23" s="13"/>
      <c r="D23" s="22">
        <v>988.8</v>
      </c>
      <c r="E23" s="23"/>
      <c r="F23" s="23"/>
      <c r="G23" s="23"/>
      <c r="H23" s="23"/>
    </row>
    <row r="24" spans="1:13" ht="30" x14ac:dyDescent="0.25">
      <c r="A24" s="1">
        <v>4</v>
      </c>
      <c r="B24" s="24" t="s">
        <v>28</v>
      </c>
      <c r="C24" s="24"/>
      <c r="D24" s="283" t="s">
        <v>170</v>
      </c>
      <c r="E24" s="283"/>
      <c r="F24" s="283"/>
      <c r="G24" s="283"/>
      <c r="H24" s="283"/>
    </row>
    <row r="25" spans="1:13" x14ac:dyDescent="0.25">
      <c r="A25" s="1">
        <v>5</v>
      </c>
      <c r="B25" s="25" t="s">
        <v>29</v>
      </c>
      <c r="C25" s="25"/>
      <c r="D25" s="284" t="s">
        <v>171</v>
      </c>
      <c r="E25" s="284"/>
      <c r="F25" s="284"/>
      <c r="G25" s="284"/>
      <c r="H25" s="284"/>
    </row>
    <row r="26" spans="1:13" ht="15.75" x14ac:dyDescent="0.25">
      <c r="A26" s="26">
        <v>1</v>
      </c>
      <c r="B26" s="267" t="s">
        <v>30</v>
      </c>
      <c r="C26" s="267"/>
      <c r="D26" s="267"/>
      <c r="E26" s="267"/>
      <c r="F26" s="267"/>
      <c r="G26" s="267"/>
      <c r="H26" s="267"/>
    </row>
    <row r="27" spans="1:13" ht="15.75" x14ac:dyDescent="0.25">
      <c r="A27" s="1" t="s">
        <v>4</v>
      </c>
      <c r="B27" s="27" t="s">
        <v>31</v>
      </c>
      <c r="C27" s="27"/>
      <c r="D27" s="27"/>
      <c r="G27" s="28"/>
      <c r="H27" s="29">
        <v>988.8</v>
      </c>
      <c r="M27">
        <v>111.9</v>
      </c>
    </row>
    <row r="28" spans="1:13" ht="15.75" x14ac:dyDescent="0.25">
      <c r="A28" s="1" t="s">
        <v>7</v>
      </c>
      <c r="B28" s="6" t="s">
        <v>32</v>
      </c>
      <c r="C28" s="6"/>
      <c r="D28" s="30" t="s">
        <v>33</v>
      </c>
      <c r="E28" s="31">
        <v>0</v>
      </c>
      <c r="H28" s="32">
        <f>H27*E28</f>
        <v>0</v>
      </c>
    </row>
    <row r="29" spans="1:13" ht="15.75" x14ac:dyDescent="0.25">
      <c r="A29" s="1" t="s">
        <v>9</v>
      </c>
      <c r="B29" s="6" t="s">
        <v>34</v>
      </c>
      <c r="C29" s="6"/>
      <c r="D29" s="33" t="s">
        <v>35</v>
      </c>
      <c r="E29" s="34" t="s">
        <v>36</v>
      </c>
      <c r="F29" s="33" t="s">
        <v>37</v>
      </c>
      <c r="G29" s="35"/>
      <c r="H29" s="32">
        <f>E30*F30</f>
        <v>0</v>
      </c>
    </row>
    <row r="30" spans="1:13" ht="15.75" x14ac:dyDescent="0.25">
      <c r="A30" s="1" t="s">
        <v>17</v>
      </c>
      <c r="B30" s="6" t="s">
        <v>38</v>
      </c>
      <c r="C30" s="6"/>
      <c r="D30" s="30" t="s">
        <v>39</v>
      </c>
      <c r="E30" s="36">
        <v>0</v>
      </c>
      <c r="F30" s="37">
        <v>954</v>
      </c>
      <c r="G30" s="27"/>
      <c r="H30" s="38"/>
    </row>
    <row r="31" spans="1:13" ht="15.75" x14ac:dyDescent="0.25">
      <c r="A31" s="1" t="s">
        <v>40</v>
      </c>
      <c r="B31" s="6" t="s">
        <v>41</v>
      </c>
      <c r="C31" s="6"/>
      <c r="G31" s="35"/>
      <c r="H31" s="38"/>
    </row>
    <row r="32" spans="1:13" ht="15.75" x14ac:dyDescent="0.25">
      <c r="A32" s="1" t="s">
        <v>42</v>
      </c>
      <c r="B32" s="6" t="s">
        <v>159</v>
      </c>
      <c r="C32" s="6"/>
      <c r="G32" s="35"/>
      <c r="H32" s="38"/>
    </row>
    <row r="33" spans="1:10" ht="15.75" x14ac:dyDescent="0.25">
      <c r="A33" s="1" t="s">
        <v>61</v>
      </c>
      <c r="B33" s="6" t="s">
        <v>155</v>
      </c>
      <c r="C33" s="6"/>
      <c r="G33" s="35"/>
      <c r="H33" s="38"/>
    </row>
    <row r="34" spans="1:10" ht="15.75" x14ac:dyDescent="0.25">
      <c r="A34" s="1" t="s">
        <v>43</v>
      </c>
      <c r="B34" s="8" t="s">
        <v>160</v>
      </c>
      <c r="C34" s="8"/>
      <c r="G34" s="35"/>
      <c r="H34" s="38"/>
    </row>
    <row r="35" spans="1:10" ht="15.75" x14ac:dyDescent="0.25">
      <c r="A35" s="1" t="s">
        <v>161</v>
      </c>
      <c r="B35" s="8" t="s">
        <v>162</v>
      </c>
      <c r="C35" s="8"/>
      <c r="G35" s="35"/>
      <c r="H35" s="38"/>
      <c r="J35" s="121">
        <f>SUM(H30:H35)</f>
        <v>0</v>
      </c>
    </row>
    <row r="36" spans="1:10" ht="15.75" x14ac:dyDescent="0.25">
      <c r="A36" s="1" t="s">
        <v>19</v>
      </c>
      <c r="B36" s="6" t="s">
        <v>44</v>
      </c>
      <c r="C36" s="6"/>
      <c r="D36" s="27"/>
      <c r="E36" s="27"/>
      <c r="F36" s="35"/>
      <c r="G36" s="35"/>
      <c r="H36" s="35">
        <v>0</v>
      </c>
    </row>
    <row r="37" spans="1:10" ht="15.75" x14ac:dyDescent="0.25">
      <c r="A37" s="39"/>
      <c r="B37" s="40" t="s">
        <v>45</v>
      </c>
      <c r="C37" s="40"/>
      <c r="D37" s="41"/>
      <c r="E37" s="41"/>
      <c r="F37" s="42"/>
      <c r="G37" s="42"/>
      <c r="H37" s="43">
        <f>SUM(H27:H36)</f>
        <v>988.8</v>
      </c>
    </row>
    <row r="38" spans="1:10" ht="15.75" x14ac:dyDescent="0.25">
      <c r="A38" s="44">
        <v>2</v>
      </c>
      <c r="B38" s="285" t="s">
        <v>46</v>
      </c>
      <c r="C38" s="285"/>
      <c r="D38" s="285"/>
      <c r="E38" s="285"/>
      <c r="F38" s="285"/>
      <c r="G38" s="285"/>
      <c r="H38" s="285"/>
    </row>
    <row r="39" spans="1:10" ht="15.75" x14ac:dyDescent="0.25">
      <c r="A39" s="124" t="s">
        <v>47</v>
      </c>
      <c r="B39" s="286" t="s">
        <v>48</v>
      </c>
      <c r="C39" s="286"/>
      <c r="D39" s="286"/>
      <c r="E39" s="286"/>
      <c r="F39" s="286"/>
      <c r="G39" s="286"/>
      <c r="H39" s="286"/>
    </row>
    <row r="40" spans="1:10" ht="15.75" x14ac:dyDescent="0.25">
      <c r="A40" s="1" t="s">
        <v>4</v>
      </c>
      <c r="B40" s="8" t="s">
        <v>49</v>
      </c>
      <c r="C40" s="8"/>
      <c r="D40" s="8"/>
      <c r="E40" s="27"/>
      <c r="F40" s="28"/>
      <c r="G40" s="45">
        <v>8.3299999999999999E-2</v>
      </c>
      <c r="H40" s="28">
        <f>SUM($H$37*G40)</f>
        <v>82.367039999999989</v>
      </c>
    </row>
    <row r="41" spans="1:10" ht="15.75" x14ac:dyDescent="0.25">
      <c r="A41" s="1" t="s">
        <v>7</v>
      </c>
      <c r="B41" s="27" t="s">
        <v>50</v>
      </c>
      <c r="C41" s="27"/>
      <c r="D41" s="27"/>
      <c r="E41" s="27"/>
      <c r="F41" s="46"/>
      <c r="G41" s="47">
        <v>0.121</v>
      </c>
      <c r="H41" s="28">
        <f>SUM($H$37*G41)</f>
        <v>119.64479999999999</v>
      </c>
    </row>
    <row r="42" spans="1:10" ht="15.75" x14ac:dyDescent="0.25">
      <c r="A42" s="1" t="s">
        <v>9</v>
      </c>
      <c r="B42" s="48" t="s">
        <v>51</v>
      </c>
      <c r="C42" s="48"/>
      <c r="D42" s="27"/>
      <c r="E42" s="27"/>
      <c r="F42" s="46"/>
      <c r="G42" s="47">
        <f>G41+G40*G53</f>
        <v>0.15165439999999999</v>
      </c>
      <c r="H42" s="28">
        <f>SUM(H40:H41)*G53</f>
        <v>74.340357120000007</v>
      </c>
    </row>
    <row r="43" spans="1:10" ht="15.75" x14ac:dyDescent="0.25">
      <c r="A43" s="49"/>
      <c r="B43" s="50" t="s">
        <v>45</v>
      </c>
      <c r="C43" s="40"/>
      <c r="D43" s="41"/>
      <c r="E43" s="41"/>
      <c r="F43" s="42"/>
      <c r="G43" s="42"/>
      <c r="H43" s="43">
        <f>SUM(H40:H42)</f>
        <v>276.35219711999997</v>
      </c>
    </row>
    <row r="44" spans="1:10" ht="15.75" x14ac:dyDescent="0.25">
      <c r="A44" s="110" t="s">
        <v>52</v>
      </c>
      <c r="B44" s="269" t="s">
        <v>53</v>
      </c>
      <c r="C44" s="269"/>
      <c r="D44" s="269"/>
      <c r="E44" s="269"/>
      <c r="F44" s="269"/>
      <c r="G44" s="269"/>
      <c r="H44" s="269"/>
    </row>
    <row r="45" spans="1:10" ht="15.75" x14ac:dyDescent="0.25">
      <c r="A45" s="1" t="s">
        <v>4</v>
      </c>
      <c r="B45" s="51" t="s">
        <v>54</v>
      </c>
      <c r="C45" s="51"/>
      <c r="D45" s="27"/>
      <c r="E45" s="27"/>
      <c r="F45" s="28"/>
      <c r="G45" s="45">
        <v>0.2</v>
      </c>
      <c r="H45" s="28">
        <f>SUM($H$37*G45)</f>
        <v>197.76</v>
      </c>
    </row>
    <row r="46" spans="1:10" ht="15.75" x14ac:dyDescent="0.25">
      <c r="A46" s="1" t="s">
        <v>7</v>
      </c>
      <c r="B46" s="51" t="s">
        <v>55</v>
      </c>
      <c r="C46" s="51"/>
      <c r="D46" s="278" t="s">
        <v>56</v>
      </c>
      <c r="E46" s="278"/>
      <c r="F46" s="28"/>
      <c r="G46" s="52">
        <v>1.4999999999999999E-2</v>
      </c>
      <c r="H46" s="28">
        <f>SUM($H$37*G46)</f>
        <v>14.831999999999999</v>
      </c>
    </row>
    <row r="47" spans="1:10" ht="15.75" x14ac:dyDescent="0.25">
      <c r="A47" s="1" t="s">
        <v>9</v>
      </c>
      <c r="B47" s="51" t="s">
        <v>57</v>
      </c>
      <c r="C47" s="51"/>
      <c r="D47" s="278"/>
      <c r="E47" s="278"/>
      <c r="F47" s="28"/>
      <c r="G47" s="52">
        <v>0.01</v>
      </c>
      <c r="H47" s="28">
        <f t="shared" ref="H47:H52" si="0">SUM($H$37*G47)</f>
        <v>9.8879999999999999</v>
      </c>
      <c r="I47" s="115"/>
    </row>
    <row r="48" spans="1:10" ht="15.75" x14ac:dyDescent="0.25">
      <c r="A48" s="1" t="s">
        <v>17</v>
      </c>
      <c r="B48" s="51" t="s">
        <v>58</v>
      </c>
      <c r="C48" s="51"/>
      <c r="D48" s="27"/>
      <c r="E48" s="27"/>
      <c r="F48" s="28"/>
      <c r="G48" s="52">
        <v>2E-3</v>
      </c>
      <c r="H48" s="28">
        <f t="shared" si="0"/>
        <v>1.9776</v>
      </c>
    </row>
    <row r="49" spans="1:8" ht="15.75" x14ac:dyDescent="0.25">
      <c r="A49" s="1" t="s">
        <v>40</v>
      </c>
      <c r="B49" s="51" t="s">
        <v>59</v>
      </c>
      <c r="C49" s="51"/>
      <c r="D49" s="27"/>
      <c r="E49" s="27"/>
      <c r="F49" s="28"/>
      <c r="G49" s="52">
        <v>2.5000000000000001E-2</v>
      </c>
      <c r="H49" s="28">
        <f t="shared" si="0"/>
        <v>24.72</v>
      </c>
    </row>
    <row r="50" spans="1:8" ht="15.75" x14ac:dyDescent="0.25">
      <c r="A50" s="1" t="s">
        <v>42</v>
      </c>
      <c r="B50" s="51" t="s">
        <v>60</v>
      </c>
      <c r="C50" s="51"/>
      <c r="D50" s="27"/>
      <c r="E50" s="27"/>
      <c r="F50" s="28"/>
      <c r="G50" s="45">
        <v>0.08</v>
      </c>
      <c r="H50" s="28">
        <f t="shared" si="0"/>
        <v>79.103999999999999</v>
      </c>
    </row>
    <row r="51" spans="1:8" ht="15.75" x14ac:dyDescent="0.25">
      <c r="A51" s="127" t="s">
        <v>61</v>
      </c>
      <c r="B51" s="128" t="s">
        <v>62</v>
      </c>
      <c r="C51" s="128"/>
      <c r="D51" s="129"/>
      <c r="E51" s="129"/>
      <c r="F51" s="129"/>
      <c r="G51" s="130">
        <v>0.03</v>
      </c>
      <c r="H51" s="131">
        <f t="shared" si="0"/>
        <v>29.663999999999998</v>
      </c>
    </row>
    <row r="52" spans="1:8" ht="15.75" x14ac:dyDescent="0.25">
      <c r="A52" s="1" t="s">
        <v>43</v>
      </c>
      <c r="B52" s="51" t="s">
        <v>63</v>
      </c>
      <c r="C52" s="51"/>
      <c r="D52" s="27"/>
      <c r="E52" s="27"/>
      <c r="F52" s="28"/>
      <c r="G52" s="52">
        <v>6.0000000000000001E-3</v>
      </c>
      <c r="H52" s="28">
        <f t="shared" si="0"/>
        <v>5.9327999999999994</v>
      </c>
    </row>
    <row r="53" spans="1:8" ht="15.75" x14ac:dyDescent="0.25">
      <c r="A53" s="54"/>
      <c r="B53" s="55" t="s">
        <v>45</v>
      </c>
      <c r="C53" s="55"/>
      <c r="D53" s="40"/>
      <c r="E53" s="40"/>
      <c r="F53" s="56"/>
      <c r="G53" s="57">
        <f>SUM(G45:G52)</f>
        <v>0.3680000000000001</v>
      </c>
      <c r="H53" s="58">
        <f>SUM(H45:H52)</f>
        <v>363.87839999999994</v>
      </c>
    </row>
    <row r="54" spans="1:8" ht="15.75" x14ac:dyDescent="0.25">
      <c r="A54" s="110" t="s">
        <v>64</v>
      </c>
      <c r="B54" s="269" t="s">
        <v>65</v>
      </c>
      <c r="C54" s="269"/>
      <c r="D54" s="269"/>
      <c r="E54" s="269"/>
      <c r="F54" s="269"/>
      <c r="G54" s="269"/>
      <c r="H54" s="269"/>
    </row>
    <row r="55" spans="1:8" ht="15.75" x14ac:dyDescent="0.25">
      <c r="A55" s="6" t="s">
        <v>66</v>
      </c>
      <c r="B55" s="59"/>
      <c r="C55" s="59"/>
      <c r="D55" s="60" t="s">
        <v>67</v>
      </c>
      <c r="E55" s="60" t="s">
        <v>68</v>
      </c>
      <c r="F55" s="60" t="s">
        <v>69</v>
      </c>
      <c r="G55" s="60" t="s">
        <v>70</v>
      </c>
      <c r="H55" s="6"/>
    </row>
    <row r="56" spans="1:8" ht="15.75" x14ac:dyDescent="0.25">
      <c r="A56" s="270" t="s">
        <v>4</v>
      </c>
      <c r="B56" s="6" t="s">
        <v>71</v>
      </c>
      <c r="C56" s="6"/>
      <c r="D56" s="271"/>
      <c r="E56" s="272"/>
      <c r="F56" s="273"/>
      <c r="G56" s="274"/>
      <c r="H56" s="35">
        <f>F56*E56*D56</f>
        <v>0</v>
      </c>
    </row>
    <row r="57" spans="1:8" ht="15.75" x14ac:dyDescent="0.25">
      <c r="A57" s="270"/>
      <c r="B57" s="6" t="s">
        <v>72</v>
      </c>
      <c r="C57" s="6"/>
      <c r="D57" s="271"/>
      <c r="E57" s="271"/>
      <c r="F57" s="271"/>
      <c r="G57" s="271"/>
      <c r="H57" s="35">
        <f>H27*G56</f>
        <v>0</v>
      </c>
    </row>
    <row r="58" spans="1:8" ht="15.75" x14ac:dyDescent="0.25">
      <c r="A58" s="270"/>
      <c r="B58" s="8" t="s">
        <v>73</v>
      </c>
      <c r="C58" s="8"/>
      <c r="D58" s="8"/>
      <c r="E58" s="27"/>
      <c r="F58" s="27"/>
      <c r="G58" s="61"/>
      <c r="H58" s="35">
        <f>H56-H57</f>
        <v>0</v>
      </c>
    </row>
    <row r="59" spans="1:8" ht="15.75" x14ac:dyDescent="0.25">
      <c r="A59" s="270" t="s">
        <v>7</v>
      </c>
      <c r="B59" s="6" t="s">
        <v>74</v>
      </c>
      <c r="C59" s="6"/>
      <c r="D59" s="271">
        <v>1</v>
      </c>
      <c r="E59" s="272">
        <v>1</v>
      </c>
      <c r="F59" s="273">
        <v>145.22999999999999</v>
      </c>
      <c r="G59" s="274">
        <v>0.2</v>
      </c>
      <c r="H59" s="35">
        <f>F59*E59*D59</f>
        <v>145.22999999999999</v>
      </c>
    </row>
    <row r="60" spans="1:8" ht="15.75" x14ac:dyDescent="0.25">
      <c r="A60" s="270"/>
      <c r="B60" s="6" t="s">
        <v>72</v>
      </c>
      <c r="C60" s="6"/>
      <c r="D60" s="271"/>
      <c r="E60" s="271"/>
      <c r="F60" s="271"/>
      <c r="G60" s="271"/>
      <c r="H60" s="35">
        <f>H59*G59</f>
        <v>29.045999999999999</v>
      </c>
    </row>
    <row r="61" spans="1:8" ht="15.75" x14ac:dyDescent="0.25">
      <c r="A61" s="270"/>
      <c r="B61" s="275" t="s">
        <v>75</v>
      </c>
      <c r="C61" s="275"/>
      <c r="D61" s="275"/>
      <c r="E61" s="275"/>
      <c r="F61" s="13"/>
      <c r="G61" s="13"/>
      <c r="H61" s="35">
        <f>H59-H60</f>
        <v>116.184</v>
      </c>
    </row>
    <row r="62" spans="1:8" ht="15.75" x14ac:dyDescent="0.25">
      <c r="A62" s="62" t="s">
        <v>9</v>
      </c>
      <c r="B62" s="275" t="s">
        <v>76</v>
      </c>
      <c r="C62" s="275"/>
      <c r="D62" s="275"/>
      <c r="E62" s="275"/>
      <c r="F62" s="13"/>
      <c r="G62" s="13"/>
      <c r="H62" s="35">
        <v>0</v>
      </c>
    </row>
    <row r="63" spans="1:8" ht="15.75" x14ac:dyDescent="0.25">
      <c r="A63" s="62" t="s">
        <v>17</v>
      </c>
      <c r="B63" s="117" t="s">
        <v>177</v>
      </c>
      <c r="C63" s="117"/>
      <c r="D63" s="117"/>
      <c r="E63" s="117" t="s">
        <v>163</v>
      </c>
      <c r="F63" s="13"/>
      <c r="G63" s="13"/>
      <c r="H63" s="35">
        <v>100</v>
      </c>
    </row>
    <row r="64" spans="1:8" ht="15.75" x14ac:dyDescent="0.25">
      <c r="A64" s="62" t="s">
        <v>40</v>
      </c>
      <c r="B64" s="116" t="s">
        <v>224</v>
      </c>
      <c r="C64" s="117"/>
      <c r="D64" s="117"/>
      <c r="E64" s="117"/>
      <c r="F64" s="13"/>
      <c r="G64" s="13"/>
      <c r="H64" s="35">
        <v>3.53</v>
      </c>
    </row>
    <row r="65" spans="1:13" ht="15.75" x14ac:dyDescent="0.25">
      <c r="A65" s="62" t="s">
        <v>42</v>
      </c>
      <c r="B65" s="116" t="s">
        <v>78</v>
      </c>
      <c r="C65" s="116"/>
      <c r="D65" s="116"/>
      <c r="E65" s="118">
        <v>0</v>
      </c>
      <c r="H65" s="119">
        <v>0</v>
      </c>
      <c r="J65" s="125"/>
      <c r="K65" s="13"/>
      <c r="L65" s="13"/>
      <c r="M65" s="35"/>
    </row>
    <row r="66" spans="1:13" ht="15.75" x14ac:dyDescent="0.25">
      <c r="A66" s="63"/>
      <c r="B66" s="276" t="s">
        <v>45</v>
      </c>
      <c r="C66" s="276"/>
      <c r="D66" s="276"/>
      <c r="E66" s="276"/>
      <c r="F66" s="64"/>
      <c r="G66" s="64"/>
      <c r="H66" s="65">
        <f>H58+H61+H62+H63+H65+H64</f>
        <v>219.714</v>
      </c>
    </row>
    <row r="67" spans="1:13" ht="15.75" x14ac:dyDescent="0.25">
      <c r="A67" s="269" t="s">
        <v>79</v>
      </c>
      <c r="B67" s="269"/>
      <c r="C67" s="269"/>
      <c r="D67" s="269"/>
      <c r="E67" s="269"/>
      <c r="F67" s="269"/>
      <c r="G67" s="269"/>
      <c r="H67" s="269"/>
    </row>
    <row r="68" spans="1:13" ht="15.75" x14ac:dyDescent="0.25">
      <c r="A68" s="62" t="s">
        <v>47</v>
      </c>
      <c r="B68" s="8" t="s">
        <v>80</v>
      </c>
      <c r="C68" s="8"/>
      <c r="D68" s="66"/>
      <c r="E68" s="66"/>
      <c r="F68" s="13"/>
      <c r="G68" s="13"/>
      <c r="H68" s="67">
        <f>H43</f>
        <v>276.35219711999997</v>
      </c>
    </row>
    <row r="69" spans="1:13" ht="15.75" x14ac:dyDescent="0.25">
      <c r="A69" s="62" t="s">
        <v>52</v>
      </c>
      <c r="B69" s="8" t="s">
        <v>81</v>
      </c>
      <c r="C69" s="8"/>
      <c r="D69" s="66"/>
      <c r="E69" s="66"/>
      <c r="F69" s="13"/>
      <c r="G69" s="13"/>
      <c r="H69" s="67">
        <f>H53</f>
        <v>363.87839999999994</v>
      </c>
    </row>
    <row r="70" spans="1:13" ht="15.75" x14ac:dyDescent="0.25">
      <c r="A70" s="62" t="s">
        <v>64</v>
      </c>
      <c r="B70" s="8" t="s">
        <v>82</v>
      </c>
      <c r="C70" s="8"/>
      <c r="D70" s="66"/>
      <c r="E70" s="66"/>
      <c r="F70" s="13"/>
      <c r="G70" s="13"/>
      <c r="H70" s="67">
        <f>H66</f>
        <v>219.714</v>
      </c>
    </row>
    <row r="71" spans="1:13" ht="15.75" x14ac:dyDescent="0.25">
      <c r="A71" s="63"/>
      <c r="B71" s="126" t="s">
        <v>45</v>
      </c>
      <c r="C71" s="126"/>
      <c r="D71" s="126"/>
      <c r="E71" s="126"/>
      <c r="F71" s="64"/>
      <c r="G71" s="64"/>
      <c r="H71" s="65">
        <f>SUM(H68:H70)</f>
        <v>859.9445971199998</v>
      </c>
    </row>
    <row r="72" spans="1:13" ht="15.75" x14ac:dyDescent="0.25">
      <c r="A72" s="68">
        <v>3</v>
      </c>
      <c r="B72" s="267" t="s">
        <v>83</v>
      </c>
      <c r="C72" s="267"/>
      <c r="D72" s="267"/>
      <c r="E72" s="267"/>
      <c r="F72" s="267"/>
      <c r="G72" s="267"/>
      <c r="H72" s="267"/>
    </row>
    <row r="73" spans="1:13" ht="15.75" x14ac:dyDescent="0.25">
      <c r="A73" s="1" t="s">
        <v>4</v>
      </c>
      <c r="B73" s="48" t="s">
        <v>84</v>
      </c>
      <c r="C73" s="48"/>
      <c r="D73" s="69"/>
      <c r="E73" s="69"/>
      <c r="F73" s="69"/>
      <c r="G73" s="45">
        <v>4.1999999999999997E-3</v>
      </c>
      <c r="H73" s="28">
        <f>SUM($H$37*G73)</f>
        <v>4.1529599999999993</v>
      </c>
      <c r="I73">
        <f>(1/12)*0.9</f>
        <v>7.4999999999999997E-2</v>
      </c>
    </row>
    <row r="74" spans="1:13" ht="15.75" x14ac:dyDescent="0.25">
      <c r="A74" s="1" t="s">
        <v>7</v>
      </c>
      <c r="B74" s="48" t="s">
        <v>85</v>
      </c>
      <c r="C74" s="48"/>
      <c r="D74" s="27"/>
      <c r="E74" s="27"/>
      <c r="F74" s="28"/>
      <c r="G74" s="45">
        <f>G73*0.08</f>
        <v>3.3599999999999998E-4</v>
      </c>
      <c r="H74" s="28">
        <f>SUM($H$37*G74)</f>
        <v>0.33223679999999994</v>
      </c>
      <c r="I74" s="115"/>
    </row>
    <row r="75" spans="1:13" ht="15.75" x14ac:dyDescent="0.25">
      <c r="A75" s="1" t="s">
        <v>9</v>
      </c>
      <c r="B75" s="48" t="s">
        <v>86</v>
      </c>
      <c r="C75" s="48"/>
      <c r="D75" s="70"/>
      <c r="E75" s="70"/>
      <c r="F75" s="70"/>
      <c r="G75" s="71">
        <v>2.0000000000000001E-4</v>
      </c>
      <c r="H75" s="72">
        <f>(ROUND(SUM($H$37*G75),2))</f>
        <v>0.2</v>
      </c>
      <c r="J75" s="122"/>
    </row>
    <row r="76" spans="1:13" ht="15.75" x14ac:dyDescent="0.25">
      <c r="A76" s="1" t="s">
        <v>17</v>
      </c>
      <c r="B76" s="27" t="s">
        <v>87</v>
      </c>
      <c r="C76" s="27"/>
      <c r="D76" s="69"/>
      <c r="E76" s="69"/>
      <c r="F76" s="69"/>
      <c r="G76" s="45">
        <v>1.9400000000000001E-2</v>
      </c>
      <c r="H76" s="28">
        <f>SUM($H$37*G76)</f>
        <v>19.18272</v>
      </c>
    </row>
    <row r="77" spans="1:13" ht="15.75" x14ac:dyDescent="0.25">
      <c r="A77" s="1" t="s">
        <v>40</v>
      </c>
      <c r="B77" s="48" t="s">
        <v>226</v>
      </c>
      <c r="C77" s="48"/>
      <c r="D77" s="27"/>
      <c r="E77" s="27"/>
      <c r="F77" s="28"/>
      <c r="G77" s="45">
        <f>G76*G53</f>
        <v>7.1392000000000027E-3</v>
      </c>
      <c r="H77" s="28">
        <f>SUM($H$37*G77)</f>
        <v>7.0592409600000021</v>
      </c>
    </row>
    <row r="78" spans="1:13" ht="15.75" x14ac:dyDescent="0.25">
      <c r="A78" s="1" t="s">
        <v>42</v>
      </c>
      <c r="B78" s="27" t="s">
        <v>89</v>
      </c>
      <c r="C78" s="27"/>
      <c r="D78" s="70"/>
      <c r="E78" s="70"/>
      <c r="F78" s="70"/>
      <c r="G78" s="52">
        <v>1E-4</v>
      </c>
      <c r="H78" s="28">
        <f>SUM($H$37*G78)</f>
        <v>9.8879999999999996E-2</v>
      </c>
    </row>
    <row r="79" spans="1:13" ht="15.75" x14ac:dyDescent="0.25">
      <c r="A79" s="73"/>
      <c r="B79" s="55" t="s">
        <v>45</v>
      </c>
      <c r="C79" s="55"/>
      <c r="D79" s="41"/>
      <c r="E79" s="41"/>
      <c r="F79" s="74"/>
      <c r="G79" s="57">
        <f>SUM(G73:G78)</f>
        <v>3.1375200000000006E-2</v>
      </c>
      <c r="H79" s="58">
        <f>SUM(H73:H78)</f>
        <v>31.026037760000001</v>
      </c>
    </row>
    <row r="80" spans="1:13" ht="15.75" x14ac:dyDescent="0.25">
      <c r="A80" s="44">
        <v>4</v>
      </c>
      <c r="B80" s="277" t="s">
        <v>90</v>
      </c>
      <c r="C80" s="277"/>
      <c r="D80" s="277"/>
      <c r="E80" s="277"/>
      <c r="F80" s="277"/>
      <c r="G80" s="277"/>
      <c r="H80" s="277"/>
    </row>
    <row r="81" spans="1:10" ht="15.75" x14ac:dyDescent="0.25">
      <c r="A81" s="75" t="s">
        <v>91</v>
      </c>
      <c r="B81" s="269" t="s">
        <v>237</v>
      </c>
      <c r="C81" s="269"/>
      <c r="D81" s="269"/>
      <c r="E81" s="269"/>
      <c r="F81" s="269"/>
      <c r="G81" s="269"/>
      <c r="H81" s="269"/>
    </row>
    <row r="82" spans="1:10" ht="15.75" x14ac:dyDescent="0.25">
      <c r="A82" s="12" t="s">
        <v>4</v>
      </c>
      <c r="B82" s="51" t="s">
        <v>227</v>
      </c>
      <c r="C82" s="51"/>
      <c r="D82" s="53"/>
      <c r="E82" s="53"/>
      <c r="F82" s="53"/>
      <c r="G82" s="45">
        <f>(G40+G41)/12</f>
        <v>1.7024999999999998E-2</v>
      </c>
      <c r="H82" s="28"/>
    </row>
    <row r="83" spans="1:10" ht="15.75" x14ac:dyDescent="0.25">
      <c r="A83" s="123" t="s">
        <v>7</v>
      </c>
      <c r="B83" s="51" t="s">
        <v>228</v>
      </c>
      <c r="C83" s="268" t="s">
        <v>95</v>
      </c>
      <c r="D83" s="76">
        <v>1</v>
      </c>
      <c r="E83" s="268" t="s">
        <v>96</v>
      </c>
      <c r="F83" s="77">
        <v>1</v>
      </c>
      <c r="G83" s="45">
        <f t="shared" ref="G83:G88" si="1">D83/360*F83</f>
        <v>2.7777777777777779E-3</v>
      </c>
      <c r="H83" s="28">
        <f>SUM(H$37*G83)</f>
        <v>2.7466666666666666</v>
      </c>
    </row>
    <row r="84" spans="1:10" ht="15.75" x14ac:dyDescent="0.25">
      <c r="A84" s="12" t="s">
        <v>9</v>
      </c>
      <c r="B84" s="51" t="s">
        <v>229</v>
      </c>
      <c r="C84" s="268"/>
      <c r="D84" s="76">
        <v>20</v>
      </c>
      <c r="E84" s="268"/>
      <c r="F84" s="77">
        <v>1.4999999999999999E-2</v>
      </c>
      <c r="G84" s="45">
        <f t="shared" si="1"/>
        <v>8.3333333333333328E-4</v>
      </c>
      <c r="H84" s="28">
        <f>SUM(H$37*G84)</f>
        <v>0.82399999999999995</v>
      </c>
    </row>
    <row r="85" spans="1:10" ht="15.75" x14ac:dyDescent="0.25">
      <c r="A85" s="12" t="s">
        <v>17</v>
      </c>
      <c r="B85" s="51" t="s">
        <v>230</v>
      </c>
      <c r="C85" s="268"/>
      <c r="D85" s="76">
        <v>15</v>
      </c>
      <c r="E85" s="268"/>
      <c r="F85" s="78">
        <v>1.3299999999999999E-2</v>
      </c>
      <c r="G85" s="45">
        <f t="shared" si="1"/>
        <v>5.5416666666666657E-4</v>
      </c>
      <c r="H85" s="28">
        <f>SUM(H$37*G85)</f>
        <v>0.54795999999999989</v>
      </c>
    </row>
    <row r="86" spans="1:10" ht="15.75" x14ac:dyDescent="0.25">
      <c r="A86" s="12" t="s">
        <v>40</v>
      </c>
      <c r="B86" s="51" t="s">
        <v>231</v>
      </c>
      <c r="C86" s="268"/>
      <c r="D86" s="76">
        <v>180</v>
      </c>
      <c r="E86" s="268"/>
      <c r="F86" s="77">
        <v>1.8599999999999998E-2</v>
      </c>
      <c r="G86" s="45">
        <f t="shared" si="1"/>
        <v>9.2999999999999992E-3</v>
      </c>
      <c r="H86" s="28">
        <f>SUM(H$37*G86)</f>
        <v>9.1958399999999987</v>
      </c>
    </row>
    <row r="87" spans="1:10" ht="15.75" x14ac:dyDescent="0.25">
      <c r="A87" s="12" t="s">
        <v>42</v>
      </c>
      <c r="B87" s="51" t="s">
        <v>232</v>
      </c>
      <c r="C87" s="268"/>
      <c r="D87" s="79">
        <v>5</v>
      </c>
      <c r="E87" s="268"/>
      <c r="F87" s="80">
        <v>1</v>
      </c>
      <c r="G87" s="45">
        <f t="shared" si="1"/>
        <v>1.3888888888888888E-2</v>
      </c>
      <c r="H87" s="81">
        <f>SUM(H$37*G87)</f>
        <v>13.733333333333333</v>
      </c>
    </row>
    <row r="88" spans="1:10" ht="15.75" x14ac:dyDescent="0.25">
      <c r="A88" s="12" t="s">
        <v>61</v>
      </c>
      <c r="B88" s="51" t="s">
        <v>101</v>
      </c>
      <c r="C88" s="268"/>
      <c r="D88" s="79"/>
      <c r="E88" s="268"/>
      <c r="F88" s="82"/>
      <c r="G88" s="45">
        <f t="shared" si="1"/>
        <v>0</v>
      </c>
      <c r="H88" s="81"/>
    </row>
    <row r="89" spans="1:10" ht="15.75" x14ac:dyDescent="0.25">
      <c r="A89" s="19"/>
      <c r="B89" s="6" t="s">
        <v>102</v>
      </c>
      <c r="C89" s="6"/>
      <c r="D89" s="27"/>
      <c r="E89" s="27"/>
      <c r="F89" s="28"/>
      <c r="G89" s="45">
        <f>SUM(G82:G88)</f>
        <v>4.4379166666666664E-2</v>
      </c>
      <c r="H89" s="28">
        <f>SUM(H82:H88)</f>
        <v>27.047799999999995</v>
      </c>
      <c r="I89" s="121"/>
    </row>
    <row r="90" spans="1:10" ht="15.75" x14ac:dyDescent="0.25">
      <c r="A90" s="12" t="s">
        <v>42</v>
      </c>
      <c r="B90" s="51" t="s">
        <v>103</v>
      </c>
      <c r="C90" s="51"/>
      <c r="D90" s="27"/>
      <c r="E90" s="27"/>
      <c r="F90" s="28"/>
      <c r="G90" s="45">
        <f>G89*G53</f>
        <v>1.6331533333333335E-2</v>
      </c>
      <c r="H90" s="28">
        <f>G53*H89</f>
        <v>9.9535904000000013</v>
      </c>
      <c r="I90" s="115"/>
      <c r="J90" s="122"/>
    </row>
    <row r="91" spans="1:10" ht="15.75" x14ac:dyDescent="0.25">
      <c r="A91" s="73"/>
      <c r="B91" s="55" t="s">
        <v>45</v>
      </c>
      <c r="C91" s="55"/>
      <c r="D91" s="41"/>
      <c r="E91" s="41"/>
      <c r="F91" s="74"/>
      <c r="G91" s="57">
        <f>G90+G89</f>
        <v>6.0710699999999999E-2</v>
      </c>
      <c r="H91" s="58">
        <f>SUM(H89:H90)</f>
        <v>37.001390399999998</v>
      </c>
    </row>
    <row r="92" spans="1:10" ht="15.75" x14ac:dyDescent="0.25">
      <c r="A92" s="75" t="s">
        <v>104</v>
      </c>
      <c r="B92" s="269" t="s">
        <v>233</v>
      </c>
      <c r="C92" s="269"/>
      <c r="D92" s="269"/>
      <c r="E92" s="269"/>
      <c r="F92" s="269"/>
      <c r="G92" s="269"/>
      <c r="H92" s="269"/>
    </row>
    <row r="93" spans="1:10" ht="15.75" x14ac:dyDescent="0.25">
      <c r="A93" s="12" t="s">
        <v>4</v>
      </c>
      <c r="B93" s="51" t="s">
        <v>235</v>
      </c>
      <c r="C93" s="51"/>
      <c r="D93" s="53"/>
      <c r="E93" s="53"/>
      <c r="F93" s="53"/>
      <c r="G93" s="52">
        <v>0</v>
      </c>
      <c r="H93" s="28">
        <f>SUM(H$37*G93)</f>
        <v>0</v>
      </c>
    </row>
    <row r="94" spans="1:10" ht="15.75" x14ac:dyDescent="0.25">
      <c r="A94" s="12" t="s">
        <v>7</v>
      </c>
      <c r="B94" s="51" t="s">
        <v>107</v>
      </c>
      <c r="C94" s="51"/>
      <c r="D94" s="53"/>
      <c r="E94" s="53"/>
      <c r="F94" s="53"/>
      <c r="G94" s="45">
        <f>G93*G53</f>
        <v>0</v>
      </c>
      <c r="H94" s="28">
        <f>SUM($H$37*G94)</f>
        <v>0</v>
      </c>
    </row>
    <row r="95" spans="1:10" ht="15.75" x14ac:dyDescent="0.25">
      <c r="A95" s="73"/>
      <c r="B95" s="55" t="s">
        <v>45</v>
      </c>
      <c r="C95" s="55"/>
      <c r="D95" s="41"/>
      <c r="E95" s="41"/>
      <c r="F95" s="74"/>
      <c r="G95" s="57">
        <f>G94+G93</f>
        <v>0</v>
      </c>
      <c r="H95" s="58">
        <f>SUM(H93:H94)</f>
        <v>0</v>
      </c>
    </row>
    <row r="96" spans="1:10" ht="15.75" x14ac:dyDescent="0.25">
      <c r="A96" s="269" t="s">
        <v>108</v>
      </c>
      <c r="B96" s="269"/>
      <c r="C96" s="269"/>
      <c r="D96" s="269"/>
      <c r="E96" s="269"/>
      <c r="F96" s="269"/>
      <c r="G96" s="269"/>
      <c r="H96" s="269"/>
    </row>
    <row r="97" spans="1:10" ht="15.75" x14ac:dyDescent="0.25">
      <c r="A97" s="12" t="s">
        <v>91</v>
      </c>
      <c r="B97" s="51" t="s">
        <v>236</v>
      </c>
      <c r="C97" s="51"/>
      <c r="D97" s="53"/>
      <c r="E97" s="53"/>
      <c r="F97" s="53"/>
      <c r="G97" s="45">
        <f>G91</f>
        <v>6.0710699999999999E-2</v>
      </c>
      <c r="H97" s="28">
        <f>H91</f>
        <v>37.001390399999998</v>
      </c>
    </row>
    <row r="98" spans="1:10" ht="15.75" x14ac:dyDescent="0.25">
      <c r="A98" s="12" t="s">
        <v>104</v>
      </c>
      <c r="B98" s="51" t="s">
        <v>234</v>
      </c>
      <c r="C98" s="51"/>
      <c r="D98" s="53"/>
      <c r="E98" s="53"/>
      <c r="F98" s="53"/>
      <c r="G98" s="45">
        <f>G95</f>
        <v>0</v>
      </c>
      <c r="H98" s="28">
        <f>H95</f>
        <v>0</v>
      </c>
    </row>
    <row r="99" spans="1:10" ht="15.75" x14ac:dyDescent="0.25">
      <c r="A99" s="73"/>
      <c r="B99" s="55" t="s">
        <v>45</v>
      </c>
      <c r="C99" s="55"/>
      <c r="D99" s="41"/>
      <c r="E99" s="41"/>
      <c r="F99" s="74"/>
      <c r="G99" s="57">
        <f>G95+G91</f>
        <v>6.0710699999999999E-2</v>
      </c>
      <c r="H99" s="58">
        <f>SUM(H97:H98)</f>
        <v>37.001390399999998</v>
      </c>
    </row>
    <row r="100" spans="1:10" ht="15.75" x14ac:dyDescent="0.25">
      <c r="A100" s="83">
        <v>5</v>
      </c>
      <c r="B100" s="269" t="s">
        <v>110</v>
      </c>
      <c r="C100" s="269"/>
      <c r="D100" s="269"/>
      <c r="E100" s="269"/>
      <c r="F100" s="269"/>
      <c r="G100" s="269"/>
      <c r="H100" s="269"/>
    </row>
    <row r="101" spans="1:10" ht="15.75" x14ac:dyDescent="0.25">
      <c r="A101" s="12" t="s">
        <v>4</v>
      </c>
      <c r="B101" s="13" t="s">
        <v>111</v>
      </c>
      <c r="C101" s="13"/>
      <c r="D101" s="84"/>
      <c r="E101" s="27"/>
      <c r="F101" s="85"/>
      <c r="G101" s="85"/>
      <c r="H101" s="85">
        <v>23.84</v>
      </c>
    </row>
    <row r="102" spans="1:10" ht="15.75" x14ac:dyDescent="0.25">
      <c r="A102" s="12" t="s">
        <v>7</v>
      </c>
      <c r="B102" s="13" t="s">
        <v>112</v>
      </c>
      <c r="C102" s="13"/>
      <c r="D102" s="84"/>
      <c r="E102" s="27"/>
      <c r="F102" s="85"/>
      <c r="G102" s="85"/>
      <c r="H102" s="85"/>
    </row>
    <row r="103" spans="1:10" ht="15.75" x14ac:dyDescent="0.25">
      <c r="A103" s="12" t="s">
        <v>9</v>
      </c>
      <c r="B103" s="13" t="s">
        <v>113</v>
      </c>
      <c r="C103" s="13"/>
      <c r="D103" s="84"/>
      <c r="E103" s="27"/>
      <c r="F103" s="85"/>
      <c r="G103" s="85"/>
      <c r="H103" s="85">
        <v>5.47</v>
      </c>
    </row>
    <row r="104" spans="1:10" ht="15.75" x14ac:dyDescent="0.25">
      <c r="A104" s="12" t="s">
        <v>17</v>
      </c>
      <c r="B104" s="13" t="s">
        <v>164</v>
      </c>
      <c r="C104" s="13"/>
      <c r="D104" s="84"/>
      <c r="E104" s="27"/>
      <c r="F104" s="85"/>
      <c r="G104" s="85"/>
      <c r="H104" s="85">
        <v>16.37</v>
      </c>
    </row>
    <row r="105" spans="1:10" ht="15.75" x14ac:dyDescent="0.25">
      <c r="A105" s="12" t="s">
        <v>40</v>
      </c>
      <c r="B105" s="13" t="s">
        <v>101</v>
      </c>
      <c r="C105" s="13"/>
      <c r="D105" s="84"/>
      <c r="E105" s="27"/>
      <c r="F105" s="85"/>
      <c r="G105" s="85"/>
      <c r="H105" s="85">
        <v>0</v>
      </c>
    </row>
    <row r="106" spans="1:10" ht="15.75" x14ac:dyDescent="0.25">
      <c r="A106" s="73"/>
      <c r="B106" s="55" t="s">
        <v>45</v>
      </c>
      <c r="C106" s="55"/>
      <c r="D106" s="41"/>
      <c r="E106" s="41"/>
      <c r="F106" s="74"/>
      <c r="G106" s="57"/>
      <c r="H106" s="58">
        <f>SUM(H101:H105)</f>
        <v>45.68</v>
      </c>
    </row>
    <row r="107" spans="1:10" ht="15.75" x14ac:dyDescent="0.25">
      <c r="A107" s="83">
        <v>6</v>
      </c>
      <c r="B107" s="269" t="s">
        <v>114</v>
      </c>
      <c r="C107" s="269"/>
      <c r="D107" s="269"/>
      <c r="E107" s="269"/>
      <c r="F107" s="269"/>
      <c r="G107" s="269"/>
      <c r="H107" s="269"/>
    </row>
    <row r="108" spans="1:10" ht="15.75" x14ac:dyDescent="0.25">
      <c r="A108" s="86" t="s">
        <v>4</v>
      </c>
      <c r="B108" s="27"/>
      <c r="C108" s="27"/>
      <c r="D108" s="27"/>
      <c r="E108" s="27"/>
      <c r="F108" s="27" t="s">
        <v>115</v>
      </c>
      <c r="G108" s="52">
        <v>0.01</v>
      </c>
      <c r="H108" s="28">
        <f>G108*H123</f>
        <v>19.6245202528</v>
      </c>
    </row>
    <row r="109" spans="1:10" ht="15.75" x14ac:dyDescent="0.25">
      <c r="A109" s="86" t="s">
        <v>7</v>
      </c>
      <c r="B109" s="27"/>
      <c r="C109" s="27"/>
      <c r="D109" s="27"/>
      <c r="E109" s="27"/>
      <c r="F109" s="12" t="s">
        <v>116</v>
      </c>
      <c r="G109" s="52">
        <v>0.01</v>
      </c>
      <c r="H109" s="28">
        <f>SUM(H108+H123)*$G$109</f>
        <v>19.820765455327997</v>
      </c>
    </row>
    <row r="110" spans="1:10" ht="15.75" x14ac:dyDescent="0.25">
      <c r="A110" s="86" t="s">
        <v>9</v>
      </c>
      <c r="B110" s="27"/>
      <c r="C110" s="27"/>
      <c r="D110" s="27"/>
      <c r="E110" s="27"/>
      <c r="F110" s="12" t="s">
        <v>117</v>
      </c>
      <c r="G110" s="87">
        <f>SUM(G111:G115)</f>
        <v>8.6499999999999994E-2</v>
      </c>
      <c r="H110" s="28">
        <f>H112+H113+H115</f>
        <v>189.56115752651675</v>
      </c>
    </row>
    <row r="111" spans="1:10" ht="15.75" x14ac:dyDescent="0.25">
      <c r="A111" s="86" t="s">
        <v>118</v>
      </c>
      <c r="B111" s="27"/>
      <c r="C111" s="27"/>
      <c r="D111" s="27"/>
      <c r="E111" s="27"/>
      <c r="F111" s="88" t="s">
        <v>119</v>
      </c>
      <c r="G111" s="45">
        <v>0</v>
      </c>
      <c r="H111" s="28"/>
    </row>
    <row r="112" spans="1:10" ht="15.75" x14ac:dyDescent="0.25">
      <c r="A112" s="86" t="s">
        <v>120</v>
      </c>
      <c r="B112" s="27"/>
      <c r="C112" s="27"/>
      <c r="D112" s="27"/>
      <c r="E112" s="27"/>
      <c r="F112" s="88" t="s">
        <v>121</v>
      </c>
      <c r="G112" s="52">
        <v>6.4999999999999997E-3</v>
      </c>
      <c r="H112" s="28">
        <f>((H108+H109+H123)/0.9135)*G112</f>
        <v>14.24448004534519</v>
      </c>
      <c r="J112" s="120"/>
    </row>
    <row r="113" spans="1:13" ht="15.75" x14ac:dyDescent="0.25">
      <c r="A113" s="86" t="s">
        <v>122</v>
      </c>
      <c r="B113" s="27"/>
      <c r="C113" s="27"/>
      <c r="D113" s="27"/>
      <c r="E113" s="27"/>
      <c r="F113" s="88" t="s">
        <v>123</v>
      </c>
      <c r="G113" s="52">
        <v>0.03</v>
      </c>
      <c r="H113" s="28">
        <f>((H108+H109+H123)/0.9135)*G113</f>
        <v>65.743754055439339</v>
      </c>
    </row>
    <row r="114" spans="1:13" ht="15.75" x14ac:dyDescent="0.25">
      <c r="A114" s="86" t="s">
        <v>124</v>
      </c>
      <c r="B114" s="27"/>
      <c r="C114" s="27"/>
      <c r="D114" s="27"/>
      <c r="E114" s="27"/>
      <c r="F114" s="88" t="s">
        <v>125</v>
      </c>
      <c r="G114" s="45">
        <v>0</v>
      </c>
      <c r="H114" s="28"/>
    </row>
    <row r="115" spans="1:13" ht="15.75" x14ac:dyDescent="0.25">
      <c r="A115" s="86" t="s">
        <v>126</v>
      </c>
      <c r="B115" s="27"/>
      <c r="C115" s="27"/>
      <c r="D115" s="27"/>
      <c r="E115" s="27"/>
      <c r="F115" s="88" t="s">
        <v>127</v>
      </c>
      <c r="G115" s="45">
        <v>0.05</v>
      </c>
      <c r="H115" s="28">
        <f>((H108+H109+H123)/0.9135)*G115</f>
        <v>109.57292342573224</v>
      </c>
    </row>
    <row r="116" spans="1:13" ht="15.75" x14ac:dyDescent="0.25">
      <c r="A116" s="73"/>
      <c r="B116" s="55" t="s">
        <v>45</v>
      </c>
      <c r="C116" s="55"/>
      <c r="D116" s="41"/>
      <c r="E116" s="41"/>
      <c r="F116" s="74"/>
      <c r="G116" s="57">
        <f>G110+G109+G108</f>
        <v>0.10649999999999998</v>
      </c>
      <c r="H116" s="58">
        <f>H108+H109+H110</f>
        <v>229.00644323464473</v>
      </c>
    </row>
    <row r="117" spans="1:13" ht="15.75" x14ac:dyDescent="0.25">
      <c r="A117" s="89"/>
      <c r="B117" s="267" t="s">
        <v>128</v>
      </c>
      <c r="C117" s="267"/>
      <c r="D117" s="267"/>
      <c r="E117" s="267"/>
      <c r="F117" s="267"/>
      <c r="G117" s="267"/>
      <c r="H117" s="267"/>
    </row>
    <row r="118" spans="1:13" ht="15.75" x14ac:dyDescent="0.25">
      <c r="A118" s="90" t="s">
        <v>4</v>
      </c>
      <c r="B118" s="27" t="s">
        <v>30</v>
      </c>
      <c r="C118" s="27"/>
      <c r="D118" s="27"/>
      <c r="E118" s="27"/>
      <c r="F118" s="28"/>
      <c r="G118" s="45">
        <f>SUM(H118/H$125)</f>
        <v>0.45120636060705349</v>
      </c>
      <c r="H118" s="28">
        <f>H37</f>
        <v>988.8</v>
      </c>
    </row>
    <row r="119" spans="1:13" ht="15.75" x14ac:dyDescent="0.25">
      <c r="A119" s="90" t="s">
        <v>7</v>
      </c>
      <c r="B119" s="27" t="s">
        <v>129</v>
      </c>
      <c r="C119" s="27"/>
      <c r="D119" s="27"/>
      <c r="E119" s="27"/>
      <c r="F119" s="28"/>
      <c r="G119" s="45">
        <f>SUM(H119/H$125)</f>
        <v>0.39240743526518407</v>
      </c>
      <c r="H119" s="28">
        <f>H71</f>
        <v>859.9445971199998</v>
      </c>
    </row>
    <row r="120" spans="1:13" ht="15.75" x14ac:dyDescent="0.25">
      <c r="A120" s="90" t="s">
        <v>9</v>
      </c>
      <c r="B120" s="27" t="s">
        <v>130</v>
      </c>
      <c r="C120" s="27"/>
      <c r="D120" s="27"/>
      <c r="E120" s="27"/>
      <c r="F120" s="28"/>
      <c r="G120" s="45">
        <f>SUM(H120/H$125)</f>
        <v>1.4157711955649898E-2</v>
      </c>
      <c r="H120" s="28">
        <f>H79</f>
        <v>31.026037760000001</v>
      </c>
    </row>
    <row r="121" spans="1:13" ht="15.75" x14ac:dyDescent="0.25">
      <c r="A121" s="90" t="s">
        <v>17</v>
      </c>
      <c r="B121" s="27" t="s">
        <v>131</v>
      </c>
      <c r="C121" s="27"/>
      <c r="D121" s="27"/>
      <c r="E121" s="27"/>
      <c r="F121" s="28"/>
      <c r="G121" s="45">
        <f>SUM(H121/H$125)</f>
        <v>1.6884367617096246E-2</v>
      </c>
      <c r="H121" s="28">
        <f>H99</f>
        <v>37.001390399999998</v>
      </c>
    </row>
    <row r="122" spans="1:13" ht="15.75" x14ac:dyDescent="0.25">
      <c r="A122" s="90" t="s">
        <v>40</v>
      </c>
      <c r="B122" s="27" t="s">
        <v>110</v>
      </c>
      <c r="C122" s="27"/>
      <c r="D122" s="27"/>
      <c r="E122" s="27"/>
      <c r="F122" s="28"/>
      <c r="G122" s="45">
        <f>H122/H125</f>
        <v>2.0844565688238476E-2</v>
      </c>
      <c r="H122" s="28">
        <f>H106</f>
        <v>45.68</v>
      </c>
    </row>
    <row r="123" spans="1:13" ht="15.75" x14ac:dyDescent="0.25">
      <c r="A123" s="90"/>
      <c r="B123" s="27" t="s">
        <v>132</v>
      </c>
      <c r="C123" s="27"/>
      <c r="D123" s="27"/>
      <c r="E123" s="27"/>
      <c r="F123" s="28"/>
      <c r="G123" s="45">
        <f>SUM(G118:G122)</f>
        <v>0.89550044113322214</v>
      </c>
      <c r="H123" s="28">
        <f>SUM(H118:H122)</f>
        <v>1962.4520252799998</v>
      </c>
      <c r="I123" s="121"/>
      <c r="J123" s="115"/>
    </row>
    <row r="124" spans="1:13" ht="15.75" x14ac:dyDescent="0.25">
      <c r="A124" s="90" t="s">
        <v>40</v>
      </c>
      <c r="B124" s="27" t="s">
        <v>133</v>
      </c>
      <c r="C124" s="27"/>
      <c r="D124" s="27"/>
      <c r="E124" s="27"/>
      <c r="F124" s="28"/>
      <c r="G124" s="45">
        <f>SUM(H124/H$125)</f>
        <v>0.10449955886677775</v>
      </c>
      <c r="H124" s="28">
        <f>H108+H109+H110</f>
        <v>229.00644323464473</v>
      </c>
    </row>
    <row r="125" spans="1:13" ht="15.75" x14ac:dyDescent="0.25">
      <c r="A125" s="55"/>
      <c r="B125" s="55" t="s">
        <v>134</v>
      </c>
      <c r="C125" s="55"/>
      <c r="D125" s="55"/>
      <c r="E125" s="55"/>
      <c r="F125" s="55"/>
      <c r="G125" s="55">
        <f>SUM(G123+G124)</f>
        <v>0.99999999999999989</v>
      </c>
      <c r="H125" s="91">
        <f>H124+H123</f>
        <v>2191.4584685146447</v>
      </c>
      <c r="I125" s="121">
        <f>H123+H124</f>
        <v>2191.4584685146447</v>
      </c>
      <c r="J125" s="121">
        <f>H123+H108+H109</f>
        <v>2001.8973109881279</v>
      </c>
      <c r="L125">
        <v>2436</v>
      </c>
      <c r="M125">
        <v>2225.36</v>
      </c>
    </row>
    <row r="126" spans="1:13" ht="15.75" x14ac:dyDescent="0.25">
      <c r="A126" s="92"/>
      <c r="B126" s="267" t="s">
        <v>135</v>
      </c>
      <c r="C126" s="267"/>
      <c r="D126" s="267"/>
      <c r="E126" s="267"/>
      <c r="F126" s="267"/>
      <c r="G126" s="267"/>
      <c r="H126" s="267"/>
      <c r="J126">
        <f>J125/0.9135</f>
        <v>2191.4584685146447</v>
      </c>
    </row>
    <row r="127" spans="1:13" ht="47.25" x14ac:dyDescent="0.25">
      <c r="A127" s="27"/>
      <c r="B127" s="16" t="s">
        <v>20</v>
      </c>
      <c r="C127" s="16"/>
      <c r="D127" s="93" t="s">
        <v>136</v>
      </c>
      <c r="E127" s="93" t="s">
        <v>137</v>
      </c>
      <c r="F127" s="94" t="s">
        <v>138</v>
      </c>
      <c r="G127" s="93" t="s">
        <v>139</v>
      </c>
      <c r="H127" s="95" t="s">
        <v>140</v>
      </c>
    </row>
    <row r="128" spans="1:13" ht="15.75" x14ac:dyDescent="0.25">
      <c r="A128" s="27"/>
      <c r="B128" s="3" t="s">
        <v>141</v>
      </c>
      <c r="C128" s="3"/>
      <c r="D128" s="3" t="s">
        <v>142</v>
      </c>
      <c r="E128" s="96" t="s">
        <v>143</v>
      </c>
      <c r="F128" s="97" t="s">
        <v>144</v>
      </c>
      <c r="G128" s="3" t="s">
        <v>145</v>
      </c>
      <c r="H128" s="98" t="s">
        <v>146</v>
      </c>
    </row>
    <row r="129" spans="1:8" ht="15.75" x14ac:dyDescent="0.25">
      <c r="A129" s="1"/>
      <c r="B129" s="14"/>
      <c r="C129" s="14"/>
      <c r="D129" s="99">
        <f>SUM(H125)</f>
        <v>2191.4584685146447</v>
      </c>
      <c r="E129" s="100">
        <v>10</v>
      </c>
      <c r="F129" s="99">
        <f>D129*E129</f>
        <v>21914.584685146445</v>
      </c>
      <c r="G129" s="101">
        <v>10</v>
      </c>
      <c r="H129" s="28">
        <f>E129*D129</f>
        <v>21914.584685146445</v>
      </c>
    </row>
    <row r="130" spans="1:8" ht="15.75" x14ac:dyDescent="0.25">
      <c r="A130" s="27"/>
      <c r="B130" s="102" t="s">
        <v>147</v>
      </c>
      <c r="C130" s="102"/>
      <c r="D130" s="103"/>
      <c r="E130" s="103"/>
      <c r="F130" s="103"/>
      <c r="G130" s="103"/>
      <c r="H130" s="104">
        <f>SUM(H129)</f>
        <v>21914.584685146445</v>
      </c>
    </row>
    <row r="131" spans="1:8" ht="15.75" x14ac:dyDescent="0.25">
      <c r="A131" s="27"/>
      <c r="B131" s="16"/>
      <c r="C131" s="16"/>
      <c r="D131" s="105"/>
      <c r="E131" s="16"/>
      <c r="F131" s="16"/>
      <c r="G131" s="16"/>
      <c r="H131" s="16"/>
    </row>
    <row r="132" spans="1:8" ht="15.75" x14ac:dyDescent="0.25">
      <c r="A132" s="83"/>
      <c r="B132" s="267" t="s">
        <v>148</v>
      </c>
      <c r="C132" s="267"/>
      <c r="D132" s="267"/>
      <c r="E132" s="267"/>
      <c r="F132" s="267"/>
      <c r="G132" s="267"/>
      <c r="H132" s="267"/>
    </row>
    <row r="133" spans="1:8" ht="15.75" x14ac:dyDescent="0.25">
      <c r="A133" s="106"/>
      <c r="B133" s="106" t="s">
        <v>149</v>
      </c>
      <c r="C133" s="106"/>
      <c r="D133" s="106"/>
      <c r="E133" s="16"/>
      <c r="F133" s="16"/>
      <c r="G133" s="16"/>
      <c r="H133" s="107" t="s">
        <v>150</v>
      </c>
    </row>
    <row r="134" spans="1:8" ht="15.75" x14ac:dyDescent="0.25">
      <c r="A134" s="108" t="s">
        <v>4</v>
      </c>
      <c r="B134" s="109" t="s">
        <v>151</v>
      </c>
      <c r="C134" s="109"/>
      <c r="D134" s="109"/>
      <c r="E134" s="13"/>
      <c r="F134" s="13"/>
      <c r="G134" s="13"/>
      <c r="H134" s="107">
        <f>D129</f>
        <v>2191.4584685146447</v>
      </c>
    </row>
    <row r="135" spans="1:8" ht="15.75" x14ac:dyDescent="0.25">
      <c r="A135" s="108" t="s">
        <v>7</v>
      </c>
      <c r="B135" s="109" t="s">
        <v>152</v>
      </c>
      <c r="C135" s="109"/>
      <c r="D135" s="109"/>
      <c r="E135" s="13"/>
      <c r="F135" s="13"/>
      <c r="G135" s="13"/>
      <c r="H135" s="107">
        <f>H130</f>
        <v>21914.584685146445</v>
      </c>
    </row>
    <row r="136" spans="1:8" ht="15.75" x14ac:dyDescent="0.25">
      <c r="A136" s="108" t="s">
        <v>17</v>
      </c>
      <c r="B136" s="7" t="s">
        <v>153</v>
      </c>
      <c r="C136" s="7"/>
      <c r="D136" s="109"/>
      <c r="E136" s="13"/>
      <c r="F136" s="13"/>
      <c r="G136" s="100">
        <v>12</v>
      </c>
      <c r="H136" s="107">
        <f>SUM(H135*G136)</f>
        <v>262975.01622175734</v>
      </c>
    </row>
    <row r="137" spans="1:8" ht="15.75" x14ac:dyDescent="0.25">
      <c r="A137" s="6"/>
      <c r="B137" s="6"/>
      <c r="C137" s="6"/>
      <c r="D137" s="6"/>
      <c r="E137" s="6"/>
      <c r="F137" s="6"/>
      <c r="G137" s="6"/>
      <c r="H137" s="6"/>
    </row>
    <row r="141" spans="1:8" x14ac:dyDescent="0.25">
      <c r="B141" s="149" t="s">
        <v>204</v>
      </c>
      <c r="C141" s="149"/>
    </row>
    <row r="142" spans="1:8" x14ac:dyDescent="0.25">
      <c r="B142" s="149" t="s">
        <v>205</v>
      </c>
      <c r="C142" s="149"/>
    </row>
    <row r="143" spans="1:8" x14ac:dyDescent="0.25">
      <c r="B143" s="149" t="s">
        <v>206</v>
      </c>
      <c r="C143" s="149"/>
    </row>
    <row r="144" spans="1:8" x14ac:dyDescent="0.25">
      <c r="B144" s="149"/>
      <c r="C144" s="149"/>
    </row>
    <row r="145" spans="2:6" x14ac:dyDescent="0.25">
      <c r="B145" s="149" t="s">
        <v>207</v>
      </c>
      <c r="C145" s="149"/>
    </row>
    <row r="147" spans="2:6" x14ac:dyDescent="0.25">
      <c r="B147" s="156" t="s">
        <v>208</v>
      </c>
    </row>
    <row r="148" spans="2:6" x14ac:dyDescent="0.25">
      <c r="B148" s="149" t="s">
        <v>209</v>
      </c>
    </row>
    <row r="149" spans="2:6" x14ac:dyDescent="0.25">
      <c r="B149" s="149" t="s">
        <v>210</v>
      </c>
    </row>
    <row r="150" spans="2:6" x14ac:dyDescent="0.25">
      <c r="B150" s="149"/>
    </row>
    <row r="151" spans="2:6" x14ac:dyDescent="0.25">
      <c r="B151" s="149" t="s">
        <v>211</v>
      </c>
    </row>
    <row r="152" spans="2:6" x14ac:dyDescent="0.25">
      <c r="B152" s="149"/>
    </row>
    <row r="153" spans="2:6" x14ac:dyDescent="0.25">
      <c r="B153" s="154" t="s">
        <v>212</v>
      </c>
    </row>
    <row r="154" spans="2:6" x14ac:dyDescent="0.25">
      <c r="B154" s="149" t="s">
        <v>213</v>
      </c>
    </row>
    <row r="155" spans="2:6" x14ac:dyDescent="0.25">
      <c r="B155" s="149"/>
    </row>
    <row r="156" spans="2:6" x14ac:dyDescent="0.25">
      <c r="B156" s="149" t="s">
        <v>207</v>
      </c>
    </row>
    <row r="157" spans="2:6" x14ac:dyDescent="0.25">
      <c r="B157" s="149" t="s">
        <v>223</v>
      </c>
    </row>
    <row r="158" spans="2:6" x14ac:dyDescent="0.25">
      <c r="B158" s="150" t="s">
        <v>214</v>
      </c>
      <c r="C158" s="151"/>
      <c r="D158" s="151"/>
      <c r="E158" s="151"/>
      <c r="F158" s="151"/>
    </row>
    <row r="159" spans="2:6" x14ac:dyDescent="0.25">
      <c r="B159" s="150"/>
      <c r="C159" s="151"/>
      <c r="D159" s="151"/>
      <c r="E159" s="151"/>
      <c r="F159" s="151"/>
    </row>
    <row r="160" spans="2:6" x14ac:dyDescent="0.25">
      <c r="B160" s="150" t="s">
        <v>215</v>
      </c>
      <c r="C160" s="151" t="s">
        <v>216</v>
      </c>
      <c r="D160" s="151" t="s">
        <v>217</v>
      </c>
      <c r="E160" s="151" t="s">
        <v>218</v>
      </c>
      <c r="F160" s="151" t="s">
        <v>219</v>
      </c>
    </row>
    <row r="161" spans="2:6" x14ac:dyDescent="0.25">
      <c r="B161" s="150" t="s">
        <v>220</v>
      </c>
      <c r="C161" s="152">
        <v>1.6500000000000001E-2</v>
      </c>
      <c r="D161" s="152">
        <v>7.5999999999999998E-2</v>
      </c>
      <c r="E161" s="153">
        <v>0.05</v>
      </c>
      <c r="F161" s="151">
        <v>0.85750000000000004</v>
      </c>
    </row>
    <row r="162" spans="2:6" x14ac:dyDescent="0.25">
      <c r="B162" s="150" t="s">
        <v>221</v>
      </c>
      <c r="C162" s="152">
        <v>6.4999999999999997E-3</v>
      </c>
      <c r="D162" s="153">
        <v>0.03</v>
      </c>
      <c r="E162" s="153">
        <v>0.05</v>
      </c>
      <c r="F162" s="151">
        <v>0.91349999999999998</v>
      </c>
    </row>
    <row r="163" spans="2:6" x14ac:dyDescent="0.25">
      <c r="B163" s="150" t="s">
        <v>222</v>
      </c>
      <c r="C163" s="152">
        <v>4.4000000000000003E-3</v>
      </c>
      <c r="D163" s="152">
        <v>2.35E-2</v>
      </c>
      <c r="E163" s="153">
        <v>0.05</v>
      </c>
      <c r="F163" s="151">
        <v>0.92210000000000003</v>
      </c>
    </row>
    <row r="165" spans="2:6" x14ac:dyDescent="0.25">
      <c r="B165" s="155" t="s">
        <v>225</v>
      </c>
    </row>
  </sheetData>
  <mergeCells count="51">
    <mergeCell ref="B117:H117"/>
    <mergeCell ref="B126:H126"/>
    <mergeCell ref="B132:H132"/>
    <mergeCell ref="C83:C88"/>
    <mergeCell ref="E83:E88"/>
    <mergeCell ref="B92:H92"/>
    <mergeCell ref="A96:H96"/>
    <mergeCell ref="B100:H100"/>
    <mergeCell ref="B107:H107"/>
    <mergeCell ref="B81:H81"/>
    <mergeCell ref="A59:A61"/>
    <mergeCell ref="D59:D60"/>
    <mergeCell ref="E59:E60"/>
    <mergeCell ref="F59:F60"/>
    <mergeCell ref="G59:G60"/>
    <mergeCell ref="B61:E61"/>
    <mergeCell ref="B62:E62"/>
    <mergeCell ref="B66:E66"/>
    <mergeCell ref="A67:H67"/>
    <mergeCell ref="B72:H72"/>
    <mergeCell ref="B80:H80"/>
    <mergeCell ref="B54:H54"/>
    <mergeCell ref="A56:A58"/>
    <mergeCell ref="D56:D57"/>
    <mergeCell ref="E56:E57"/>
    <mergeCell ref="F56:F57"/>
    <mergeCell ref="G56:G57"/>
    <mergeCell ref="D46:E47"/>
    <mergeCell ref="E18:H18"/>
    <mergeCell ref="B19:H19"/>
    <mergeCell ref="A20:H20"/>
    <mergeCell ref="D21:H21"/>
    <mergeCell ref="D22:H22"/>
    <mergeCell ref="D24:H24"/>
    <mergeCell ref="D25:H25"/>
    <mergeCell ref="B26:H26"/>
    <mergeCell ref="B38:H38"/>
    <mergeCell ref="B39:H39"/>
    <mergeCell ref="B44:H44"/>
    <mergeCell ref="E17:H17"/>
    <mergeCell ref="A3:H3"/>
    <mergeCell ref="E4:H6"/>
    <mergeCell ref="A7:D7"/>
    <mergeCell ref="A8:H8"/>
    <mergeCell ref="D9:H9"/>
    <mergeCell ref="D10:H10"/>
    <mergeCell ref="D11:H11"/>
    <mergeCell ref="D12:H12"/>
    <mergeCell ref="A14:H14"/>
    <mergeCell ref="E15:H15"/>
    <mergeCell ref="E16:H16"/>
  </mergeCells>
  <dataValidations count="4">
    <dataValidation type="list" operator="equal" allowBlank="1" showErrorMessage="1" promptTitle="Percentual" sqref="E30">
      <formula1>$K$28:$K$31</formula1>
      <formula2>0</formula2>
    </dataValidation>
    <dataValidation type="list" operator="equal" allowBlank="1" showErrorMessage="1" sqref="D30">
      <formula1>$J$28:$J$31</formula1>
      <formula2>0</formula2>
    </dataValidation>
    <dataValidation type="list" operator="equal" allowBlank="1" showErrorMessage="1" sqref="E28">
      <formula1>$K$33:$K$34</formula1>
      <formula2>0</formula2>
    </dataValidation>
    <dataValidation type="list" operator="equal" allowBlank="1" showErrorMessage="1" sqref="D28">
      <formula1>$J$33:$J$34</formula1>
      <formula2>0</formula2>
    </dataValidation>
  </dataValidations>
  <pageMargins left="0.70866141732283472" right="0.70866141732283472" top="0.74803149606299213" bottom="0.74803149606299213" header="0.31496062992125984" footer="0.31496062992125984"/>
  <pageSetup paperSize="9" scale="45"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64"/>
  <sheetViews>
    <sheetView topLeftCell="A117" zoomScale="70" zoomScaleNormal="70" workbookViewId="0">
      <selection activeCell="B80" sqref="B80:H80"/>
    </sheetView>
  </sheetViews>
  <sheetFormatPr defaultRowHeight="15" x14ac:dyDescent="0.25"/>
  <cols>
    <col min="1" max="1" width="23.28515625" customWidth="1"/>
    <col min="2" max="2" width="54.85546875" customWidth="1"/>
    <col min="3" max="3" width="11.5703125" customWidth="1"/>
    <col min="4" max="4" width="34" customWidth="1"/>
    <col min="5" max="5" width="18" customWidth="1"/>
    <col min="6" max="6" width="25.28515625" bestFit="1" customWidth="1"/>
    <col min="7" max="7" width="11.5703125" bestFit="1" customWidth="1"/>
    <col min="8" max="8" width="17.140625" bestFit="1" customWidth="1"/>
    <col min="9" max="9" width="20.7109375" customWidth="1"/>
    <col min="10" max="10" width="11" bestFit="1" customWidth="1"/>
    <col min="12" max="12" width="11.5703125" bestFit="1" customWidth="1"/>
    <col min="13" max="13" width="12" bestFit="1" customWidth="1"/>
  </cols>
  <sheetData>
    <row r="1" spans="1:8" x14ac:dyDescent="0.25">
      <c r="A1" s="1"/>
      <c r="B1" s="1"/>
      <c r="C1" s="1"/>
      <c r="D1" s="1"/>
      <c r="E1" s="1"/>
      <c r="F1" s="1"/>
      <c r="G1" s="1"/>
      <c r="H1" s="2"/>
    </row>
    <row r="2" spans="1:8" ht="15.75" x14ac:dyDescent="0.25">
      <c r="A2" s="3" t="s">
        <v>203</v>
      </c>
      <c r="B2" s="3" t="s">
        <v>0</v>
      </c>
      <c r="C2" s="3"/>
      <c r="D2" s="4" t="s">
        <v>1</v>
      </c>
      <c r="E2" s="3"/>
      <c r="F2" s="3" t="s">
        <v>2</v>
      </c>
      <c r="G2" s="3"/>
      <c r="H2" s="5" t="s">
        <v>156</v>
      </c>
    </row>
    <row r="3" spans="1:8" ht="15.75" x14ac:dyDescent="0.25">
      <c r="A3" s="269" t="s">
        <v>3</v>
      </c>
      <c r="B3" s="269"/>
      <c r="C3" s="269"/>
      <c r="D3" s="269"/>
      <c r="E3" s="269"/>
      <c r="F3" s="269"/>
      <c r="G3" s="269"/>
      <c r="H3" s="269"/>
    </row>
    <row r="4" spans="1:8" ht="15.75" x14ac:dyDescent="0.25">
      <c r="A4" s="6" t="s">
        <v>4</v>
      </c>
      <c r="B4" s="7" t="s">
        <v>5</v>
      </c>
      <c r="C4" s="7"/>
      <c r="D4" s="8"/>
      <c r="E4" s="287" t="s">
        <v>6</v>
      </c>
      <c r="F4" s="287"/>
      <c r="G4" s="287"/>
      <c r="H4" s="287"/>
    </row>
    <row r="5" spans="1:8" ht="15.75" x14ac:dyDescent="0.25">
      <c r="A5" s="6" t="s">
        <v>7</v>
      </c>
      <c r="B5" s="7" t="s">
        <v>8</v>
      </c>
      <c r="C5" s="7"/>
      <c r="D5" s="9"/>
      <c r="E5" s="287"/>
      <c r="F5" s="287"/>
      <c r="G5" s="287"/>
      <c r="H5" s="287"/>
    </row>
    <row r="6" spans="1:8" ht="15.75" x14ac:dyDescent="0.25">
      <c r="A6" s="6" t="s">
        <v>9</v>
      </c>
      <c r="B6" s="7" t="s">
        <v>10</v>
      </c>
      <c r="C6" s="7"/>
      <c r="D6" s="10" t="s">
        <v>11</v>
      </c>
      <c r="E6" s="287"/>
      <c r="F6" s="287"/>
      <c r="G6" s="287"/>
      <c r="H6" s="287"/>
    </row>
    <row r="7" spans="1:8" ht="15.75" x14ac:dyDescent="0.25">
      <c r="A7" s="288"/>
      <c r="B7" s="288"/>
      <c r="C7" s="288"/>
      <c r="D7" s="288"/>
      <c r="E7" s="11"/>
      <c r="F7" s="11"/>
      <c r="G7" s="11"/>
      <c r="H7" s="11"/>
    </row>
    <row r="8" spans="1:8" ht="15.75" x14ac:dyDescent="0.25">
      <c r="A8" s="269" t="s">
        <v>12</v>
      </c>
      <c r="B8" s="269"/>
      <c r="C8" s="269"/>
      <c r="D8" s="269"/>
      <c r="E8" s="269"/>
      <c r="F8" s="269"/>
      <c r="G8" s="269"/>
      <c r="H8" s="269"/>
    </row>
    <row r="9" spans="1:8" x14ac:dyDescent="0.25">
      <c r="A9" s="12" t="s">
        <v>4</v>
      </c>
      <c r="B9" s="13" t="s">
        <v>13</v>
      </c>
      <c r="C9" s="13"/>
      <c r="D9" s="281" t="s">
        <v>14</v>
      </c>
      <c r="E9" s="281"/>
      <c r="F9" s="281"/>
      <c r="G9" s="281"/>
      <c r="H9" s="281"/>
    </row>
    <row r="10" spans="1:8" x14ac:dyDescent="0.25">
      <c r="A10" s="12" t="s">
        <v>7</v>
      </c>
      <c r="B10" s="13" t="s">
        <v>15</v>
      </c>
      <c r="C10" s="13"/>
      <c r="D10" s="289" t="s">
        <v>186</v>
      </c>
      <c r="E10" s="289"/>
      <c r="F10" s="289"/>
      <c r="G10" s="289"/>
      <c r="H10" s="289"/>
    </row>
    <row r="11" spans="1:8" x14ac:dyDescent="0.25">
      <c r="A11" s="12" t="s">
        <v>9</v>
      </c>
      <c r="B11" s="13" t="s">
        <v>16</v>
      </c>
      <c r="C11" s="13"/>
      <c r="D11" s="289" t="s">
        <v>174</v>
      </c>
      <c r="E11" s="289"/>
      <c r="F11" s="289"/>
      <c r="G11" s="289"/>
      <c r="H11" s="289"/>
    </row>
    <row r="12" spans="1:8" x14ac:dyDescent="0.25">
      <c r="A12" s="12" t="s">
        <v>17</v>
      </c>
      <c r="B12" s="13" t="s">
        <v>18</v>
      </c>
      <c r="C12" s="13"/>
      <c r="D12" s="289">
        <v>12</v>
      </c>
      <c r="E12" s="289"/>
      <c r="F12" s="289"/>
      <c r="G12" s="289"/>
      <c r="H12" s="289"/>
    </row>
    <row r="13" spans="1:8" x14ac:dyDescent="0.25">
      <c r="A13" s="12"/>
      <c r="B13" s="13"/>
      <c r="C13" s="13"/>
      <c r="D13" s="14"/>
      <c r="E13" s="14"/>
      <c r="F13" s="14"/>
      <c r="G13" s="14"/>
      <c r="H13" s="15"/>
    </row>
    <row r="14" spans="1:8" ht="15.75" x14ac:dyDescent="0.25">
      <c r="A14" s="269" t="s">
        <v>19</v>
      </c>
      <c r="B14" s="269"/>
      <c r="C14" s="269"/>
      <c r="D14" s="269"/>
      <c r="E14" s="269"/>
      <c r="F14" s="269"/>
      <c r="G14" s="269"/>
      <c r="H14" s="269"/>
    </row>
    <row r="15" spans="1:8" ht="15.75" x14ac:dyDescent="0.25">
      <c r="A15" s="12"/>
      <c r="B15" s="16" t="s">
        <v>20</v>
      </c>
      <c r="C15" s="16"/>
      <c r="D15" s="17" t="s">
        <v>21</v>
      </c>
      <c r="E15" s="290" t="s">
        <v>22</v>
      </c>
      <c r="F15" s="290"/>
      <c r="G15" s="290"/>
      <c r="H15" s="290"/>
    </row>
    <row r="16" spans="1:8" x14ac:dyDescent="0.25">
      <c r="A16" s="12" t="s">
        <v>4</v>
      </c>
      <c r="B16" s="18" t="s">
        <v>180</v>
      </c>
      <c r="C16" s="19"/>
      <c r="D16" s="20" t="s">
        <v>23</v>
      </c>
      <c r="E16" s="291">
        <v>1</v>
      </c>
      <c r="F16" s="291"/>
      <c r="G16" s="291"/>
      <c r="H16" s="291"/>
    </row>
    <row r="17" spans="1:9" x14ac:dyDescent="0.25">
      <c r="A17" s="12" t="s">
        <v>7</v>
      </c>
      <c r="B17" s="13"/>
      <c r="C17" s="13"/>
      <c r="D17" s="21"/>
      <c r="E17" s="279"/>
      <c r="F17" s="279"/>
      <c r="G17" s="279"/>
      <c r="H17" s="279"/>
    </row>
    <row r="18" spans="1:9" x14ac:dyDescent="0.25">
      <c r="A18" s="12" t="s">
        <v>9</v>
      </c>
      <c r="B18" s="13"/>
      <c r="C18" s="13"/>
      <c r="D18" s="21"/>
      <c r="E18" s="279"/>
      <c r="F18" s="279"/>
      <c r="G18" s="279"/>
      <c r="H18" s="279"/>
    </row>
    <row r="19" spans="1:9" ht="15.75" x14ac:dyDescent="0.25">
      <c r="A19" s="110"/>
      <c r="B19" s="269" t="s">
        <v>24</v>
      </c>
      <c r="C19" s="269"/>
      <c r="D19" s="269"/>
      <c r="E19" s="269"/>
      <c r="F19" s="269"/>
      <c r="G19" s="269"/>
      <c r="H19" s="269"/>
    </row>
    <row r="20" spans="1:9" ht="15.75" x14ac:dyDescent="0.25">
      <c r="A20" s="280" t="s">
        <v>25</v>
      </c>
      <c r="B20" s="280"/>
      <c r="C20" s="280"/>
      <c r="D20" s="280"/>
      <c r="E20" s="280"/>
      <c r="F20" s="280"/>
      <c r="G20" s="280"/>
      <c r="H20" s="280"/>
    </row>
    <row r="21" spans="1:9" x14ac:dyDescent="0.25">
      <c r="A21" s="12">
        <v>1</v>
      </c>
      <c r="B21" s="13" t="s">
        <v>20</v>
      </c>
      <c r="C21" s="13"/>
      <c r="D21" s="281" t="s">
        <v>179</v>
      </c>
      <c r="E21" s="281"/>
      <c r="F21" s="281"/>
      <c r="G21" s="281"/>
      <c r="H21" s="281"/>
    </row>
    <row r="22" spans="1:9" x14ac:dyDescent="0.25">
      <c r="A22" s="12">
        <v>2</v>
      </c>
      <c r="B22" s="13" t="s">
        <v>26</v>
      </c>
      <c r="C22" s="13"/>
      <c r="D22" s="282" t="s">
        <v>178</v>
      </c>
      <c r="E22" s="282"/>
      <c r="F22" s="282"/>
      <c r="G22" s="282"/>
      <c r="H22" s="282"/>
    </row>
    <row r="23" spans="1:9" x14ac:dyDescent="0.25">
      <c r="A23" s="12">
        <v>3</v>
      </c>
      <c r="B23" s="13" t="s">
        <v>27</v>
      </c>
      <c r="C23" s="13"/>
      <c r="D23" s="22">
        <v>1007.64</v>
      </c>
      <c r="E23" s="23"/>
      <c r="F23" s="23"/>
      <c r="G23" s="23"/>
      <c r="H23" s="23"/>
    </row>
    <row r="24" spans="1:9" ht="30" x14ac:dyDescent="0.25">
      <c r="A24" s="1">
        <v>4</v>
      </c>
      <c r="B24" s="24" t="s">
        <v>28</v>
      </c>
      <c r="C24" s="24"/>
      <c r="D24" s="283" t="s">
        <v>170</v>
      </c>
      <c r="E24" s="283"/>
      <c r="F24" s="283"/>
      <c r="G24" s="283"/>
      <c r="H24" s="283"/>
    </row>
    <row r="25" spans="1:9" x14ac:dyDescent="0.25">
      <c r="A25" s="1">
        <v>5</v>
      </c>
      <c r="B25" s="25" t="s">
        <v>29</v>
      </c>
      <c r="C25" s="25"/>
      <c r="D25" s="284" t="s">
        <v>171</v>
      </c>
      <c r="E25" s="284"/>
      <c r="F25" s="284"/>
      <c r="G25" s="284"/>
      <c r="H25" s="284"/>
    </row>
    <row r="26" spans="1:9" ht="15.75" x14ac:dyDescent="0.25">
      <c r="A26" s="26">
        <v>1</v>
      </c>
      <c r="B26" s="267" t="s">
        <v>30</v>
      </c>
      <c r="C26" s="267"/>
      <c r="D26" s="267"/>
      <c r="E26" s="267"/>
      <c r="F26" s="267"/>
      <c r="G26" s="267"/>
      <c r="H26" s="267"/>
    </row>
    <row r="27" spans="1:9" ht="15.75" x14ac:dyDescent="0.25">
      <c r="A27" s="1" t="s">
        <v>4</v>
      </c>
      <c r="B27" s="27" t="s">
        <v>31</v>
      </c>
      <c r="C27" s="27"/>
      <c r="D27" s="27"/>
      <c r="G27" s="28"/>
      <c r="H27" s="29">
        <v>1007.64</v>
      </c>
    </row>
    <row r="28" spans="1:9" ht="15.75" x14ac:dyDescent="0.25">
      <c r="A28" s="1" t="s">
        <v>7</v>
      </c>
      <c r="B28" s="6" t="s">
        <v>32</v>
      </c>
      <c r="C28" s="6"/>
      <c r="D28" s="30" t="s">
        <v>33</v>
      </c>
      <c r="E28" s="31">
        <v>0</v>
      </c>
      <c r="H28" s="32">
        <f>H27*E28</f>
        <v>0</v>
      </c>
    </row>
    <row r="29" spans="1:9" ht="30.75" x14ac:dyDescent="0.25">
      <c r="A29" s="127" t="s">
        <v>9</v>
      </c>
      <c r="B29" s="132" t="s">
        <v>187</v>
      </c>
      <c r="C29" s="133"/>
      <c r="D29" s="134" t="s">
        <v>35</v>
      </c>
      <c r="E29" s="135" t="s">
        <v>36</v>
      </c>
      <c r="F29" s="134" t="s">
        <v>37</v>
      </c>
      <c r="G29" s="136"/>
      <c r="H29" s="137">
        <f>E31*F31</f>
        <v>403.05600000000004</v>
      </c>
    </row>
    <row r="30" spans="1:9" ht="15.75" x14ac:dyDescent="0.25">
      <c r="A30" s="1" t="s">
        <v>17</v>
      </c>
      <c r="B30" s="6" t="s">
        <v>38</v>
      </c>
      <c r="C30" s="6"/>
      <c r="D30" s="30" t="s">
        <v>39</v>
      </c>
      <c r="E30" s="36">
        <v>0</v>
      </c>
      <c r="F30" s="37">
        <v>954</v>
      </c>
      <c r="G30" s="27"/>
      <c r="H30" s="38"/>
      <c r="I30">
        <v>40</v>
      </c>
    </row>
    <row r="31" spans="1:9" ht="15.75" x14ac:dyDescent="0.25">
      <c r="A31" s="1" t="s">
        <v>40</v>
      </c>
      <c r="B31" s="6" t="s">
        <v>41</v>
      </c>
      <c r="C31" s="6"/>
      <c r="E31">
        <v>0.4</v>
      </c>
      <c r="F31" s="121">
        <f>H27</f>
        <v>1007.64</v>
      </c>
      <c r="G31" s="35"/>
      <c r="H31" s="38"/>
      <c r="I31">
        <v>40</v>
      </c>
    </row>
    <row r="32" spans="1:9" ht="15.75" x14ac:dyDescent="0.25">
      <c r="A32" s="1" t="s">
        <v>42</v>
      </c>
      <c r="B32" s="6" t="s">
        <v>159</v>
      </c>
      <c r="C32" s="6"/>
      <c r="G32" s="35"/>
      <c r="H32" s="38"/>
    </row>
    <row r="33" spans="1:9" ht="15.75" x14ac:dyDescent="0.25">
      <c r="A33" s="1" t="s">
        <v>61</v>
      </c>
      <c r="B33" s="6" t="s">
        <v>155</v>
      </c>
      <c r="C33" s="6"/>
      <c r="G33" s="35"/>
      <c r="H33" s="38"/>
    </row>
    <row r="34" spans="1:9" ht="15.75" x14ac:dyDescent="0.25">
      <c r="A34" s="1" t="s">
        <v>43</v>
      </c>
      <c r="B34" s="8" t="s">
        <v>160</v>
      </c>
      <c r="C34" s="8"/>
      <c r="G34" s="35"/>
      <c r="H34" s="38"/>
    </row>
    <row r="35" spans="1:9" ht="15.75" x14ac:dyDescent="0.25">
      <c r="A35" s="1" t="s">
        <v>161</v>
      </c>
      <c r="B35" s="8" t="s">
        <v>162</v>
      </c>
      <c r="C35" s="8"/>
      <c r="G35" s="35"/>
      <c r="H35" s="38"/>
    </row>
    <row r="36" spans="1:9" ht="15.75" x14ac:dyDescent="0.25">
      <c r="A36" s="1" t="s">
        <v>19</v>
      </c>
      <c r="B36" s="6" t="s">
        <v>44</v>
      </c>
      <c r="C36" s="6"/>
      <c r="D36" s="27"/>
      <c r="E36" s="27"/>
      <c r="F36" s="35"/>
      <c r="G36" s="35"/>
      <c r="H36" s="35">
        <v>0</v>
      </c>
    </row>
    <row r="37" spans="1:9" ht="15.75" x14ac:dyDescent="0.25">
      <c r="A37" s="39"/>
      <c r="B37" s="40" t="s">
        <v>45</v>
      </c>
      <c r="C37" s="40"/>
      <c r="D37" s="41"/>
      <c r="E37" s="41"/>
      <c r="F37" s="42"/>
      <c r="G37" s="42"/>
      <c r="H37" s="43">
        <f>SUM(H27:H36)</f>
        <v>1410.6959999999999</v>
      </c>
    </row>
    <row r="38" spans="1:9" ht="15.75" x14ac:dyDescent="0.25">
      <c r="A38" s="44">
        <v>2</v>
      </c>
      <c r="B38" s="285" t="s">
        <v>46</v>
      </c>
      <c r="C38" s="285"/>
      <c r="D38" s="285"/>
      <c r="E38" s="285"/>
      <c r="F38" s="285"/>
      <c r="G38" s="285"/>
      <c r="H38" s="285"/>
    </row>
    <row r="39" spans="1:9" ht="15.75" x14ac:dyDescent="0.25">
      <c r="A39" s="124" t="s">
        <v>47</v>
      </c>
      <c r="B39" s="286" t="s">
        <v>48</v>
      </c>
      <c r="C39" s="286"/>
      <c r="D39" s="286"/>
      <c r="E39" s="286"/>
      <c r="F39" s="286"/>
      <c r="G39" s="286"/>
      <c r="H39" s="286"/>
    </row>
    <row r="40" spans="1:9" ht="15.75" x14ac:dyDescent="0.25">
      <c r="A40" s="1" t="s">
        <v>4</v>
      </c>
      <c r="B40" s="8" t="s">
        <v>49</v>
      </c>
      <c r="C40" s="8"/>
      <c r="D40" s="8"/>
      <c r="E40" s="27"/>
      <c r="F40" s="28"/>
      <c r="G40" s="45">
        <v>8.3299999999999999E-2</v>
      </c>
      <c r="H40" s="28">
        <f>SUM($H$37*G40)</f>
        <v>117.51097679999999</v>
      </c>
    </row>
    <row r="41" spans="1:9" ht="15.75" x14ac:dyDescent="0.25">
      <c r="A41" s="1" t="s">
        <v>7</v>
      </c>
      <c r="B41" s="27" t="s">
        <v>50</v>
      </c>
      <c r="C41" s="27"/>
      <c r="D41" s="27"/>
      <c r="E41" s="27"/>
      <c r="F41" s="46"/>
      <c r="G41" s="47">
        <v>0.121</v>
      </c>
      <c r="H41" s="28">
        <f>SUM($H$37*G41)</f>
        <v>170.69421599999998</v>
      </c>
    </row>
    <row r="42" spans="1:9" ht="15.75" x14ac:dyDescent="0.25">
      <c r="A42" s="1" t="s">
        <v>9</v>
      </c>
      <c r="B42" s="48" t="s">
        <v>51</v>
      </c>
      <c r="C42" s="48"/>
      <c r="D42" s="27"/>
      <c r="E42" s="27"/>
      <c r="F42" s="46"/>
      <c r="G42" s="47">
        <f>G41+G40*G53</f>
        <v>0.15165439999999999</v>
      </c>
      <c r="H42" s="28">
        <f>SUM(H40:H41)*G53</f>
        <v>106.05951095040001</v>
      </c>
    </row>
    <row r="43" spans="1:9" ht="15.75" x14ac:dyDescent="0.25">
      <c r="A43" s="49"/>
      <c r="B43" s="50" t="s">
        <v>45</v>
      </c>
      <c r="C43" s="40"/>
      <c r="D43" s="41"/>
      <c r="E43" s="41"/>
      <c r="F43" s="42"/>
      <c r="G43" s="42"/>
      <c r="H43" s="43">
        <f>SUM(H40:H42)</f>
        <v>394.26470375039997</v>
      </c>
    </row>
    <row r="44" spans="1:9" ht="15.75" x14ac:dyDescent="0.25">
      <c r="A44" s="110" t="s">
        <v>52</v>
      </c>
      <c r="B44" s="269" t="s">
        <v>53</v>
      </c>
      <c r="C44" s="269"/>
      <c r="D44" s="269"/>
      <c r="E44" s="269"/>
      <c r="F44" s="269"/>
      <c r="G44" s="269"/>
      <c r="H44" s="269"/>
    </row>
    <row r="45" spans="1:9" ht="15.75" x14ac:dyDescent="0.25">
      <c r="A45" s="1" t="s">
        <v>4</v>
      </c>
      <c r="B45" s="51" t="s">
        <v>54</v>
      </c>
      <c r="C45" s="51"/>
      <c r="D45" s="27"/>
      <c r="E45" s="27"/>
      <c r="F45" s="28"/>
      <c r="G45" s="45">
        <v>0.2</v>
      </c>
      <c r="H45" s="28">
        <f t="shared" ref="H45:H52" si="0">SUM($H$37*G45)</f>
        <v>282.13920000000002</v>
      </c>
    </row>
    <row r="46" spans="1:9" ht="15.75" x14ac:dyDescent="0.25">
      <c r="A46" s="1" t="s">
        <v>7</v>
      </c>
      <c r="B46" s="51" t="s">
        <v>55</v>
      </c>
      <c r="C46" s="51"/>
      <c r="D46" s="278" t="s">
        <v>56</v>
      </c>
      <c r="E46" s="278"/>
      <c r="F46" s="28"/>
      <c r="G46" s="52">
        <v>1.4999999999999999E-2</v>
      </c>
      <c r="H46" s="28">
        <f t="shared" si="0"/>
        <v>21.160439999999998</v>
      </c>
    </row>
    <row r="47" spans="1:9" ht="15.75" x14ac:dyDescent="0.25">
      <c r="A47" s="1" t="s">
        <v>9</v>
      </c>
      <c r="B47" s="51" t="s">
        <v>57</v>
      </c>
      <c r="C47" s="51"/>
      <c r="D47" s="278"/>
      <c r="E47" s="278"/>
      <c r="F47" s="28"/>
      <c r="G47" s="52">
        <v>0.01</v>
      </c>
      <c r="H47" s="28">
        <f t="shared" si="0"/>
        <v>14.106959999999999</v>
      </c>
      <c r="I47" s="115"/>
    </row>
    <row r="48" spans="1:9" ht="15.75" x14ac:dyDescent="0.25">
      <c r="A48" s="1" t="s">
        <v>17</v>
      </c>
      <c r="B48" s="51" t="s">
        <v>58</v>
      </c>
      <c r="C48" s="51"/>
      <c r="D48" s="27"/>
      <c r="E48" s="27"/>
      <c r="F48" s="28"/>
      <c r="G48" s="52">
        <v>2E-3</v>
      </c>
      <c r="H48" s="28">
        <f t="shared" si="0"/>
        <v>2.8213919999999999</v>
      </c>
    </row>
    <row r="49" spans="1:9" ht="15.75" x14ac:dyDescent="0.25">
      <c r="A49" s="1" t="s">
        <v>40</v>
      </c>
      <c r="B49" s="51" t="s">
        <v>59</v>
      </c>
      <c r="C49" s="51"/>
      <c r="D49" s="27"/>
      <c r="E49" s="27"/>
      <c r="F49" s="28"/>
      <c r="G49" s="52">
        <v>2.5000000000000001E-2</v>
      </c>
      <c r="H49" s="28">
        <f t="shared" si="0"/>
        <v>35.267400000000002</v>
      </c>
    </row>
    <row r="50" spans="1:9" ht="15.75" x14ac:dyDescent="0.25">
      <c r="A50" s="1" t="s">
        <v>42</v>
      </c>
      <c r="B50" s="51" t="s">
        <v>60</v>
      </c>
      <c r="C50" s="51"/>
      <c r="D50" s="27"/>
      <c r="E50" s="27"/>
      <c r="F50" s="28"/>
      <c r="G50" s="45">
        <v>0.08</v>
      </c>
      <c r="H50" s="28">
        <f t="shared" si="0"/>
        <v>112.85567999999999</v>
      </c>
    </row>
    <row r="51" spans="1:9" ht="15.75" x14ac:dyDescent="0.25">
      <c r="A51" s="127" t="s">
        <v>61</v>
      </c>
      <c r="B51" s="128" t="s">
        <v>62</v>
      </c>
      <c r="C51" s="128"/>
      <c r="D51" s="129"/>
      <c r="E51" s="129"/>
      <c r="F51" s="129"/>
      <c r="G51" s="130">
        <v>0.03</v>
      </c>
      <c r="H51" s="131">
        <f t="shared" si="0"/>
        <v>42.320879999999995</v>
      </c>
    </row>
    <row r="52" spans="1:9" ht="15.75" x14ac:dyDescent="0.25">
      <c r="A52" s="1" t="s">
        <v>43</v>
      </c>
      <c r="B52" s="51" t="s">
        <v>63</v>
      </c>
      <c r="C52" s="51"/>
      <c r="D52" s="27"/>
      <c r="E52" s="27"/>
      <c r="F52" s="28"/>
      <c r="G52" s="52">
        <v>6.0000000000000001E-3</v>
      </c>
      <c r="H52" s="28">
        <f t="shared" si="0"/>
        <v>8.4641760000000001</v>
      </c>
    </row>
    <row r="53" spans="1:9" ht="15.75" x14ac:dyDescent="0.25">
      <c r="A53" s="54"/>
      <c r="B53" s="55" t="s">
        <v>45</v>
      </c>
      <c r="C53" s="55"/>
      <c r="D53" s="40"/>
      <c r="E53" s="40"/>
      <c r="F53" s="56"/>
      <c r="G53" s="57">
        <f>SUM(G45:G52)</f>
        <v>0.3680000000000001</v>
      </c>
      <c r="H53" s="58">
        <f>SUM(H45:H52)</f>
        <v>519.13612799999999</v>
      </c>
      <c r="I53" s="121">
        <f>H53+H42</f>
        <v>625.19563895040005</v>
      </c>
    </row>
    <row r="54" spans="1:9" ht="15.75" x14ac:dyDescent="0.25">
      <c r="A54" s="110" t="s">
        <v>64</v>
      </c>
      <c r="B54" s="269" t="s">
        <v>65</v>
      </c>
      <c r="C54" s="269"/>
      <c r="D54" s="269"/>
      <c r="E54" s="269"/>
      <c r="F54" s="269"/>
      <c r="G54" s="269"/>
      <c r="H54" s="269"/>
    </row>
    <row r="55" spans="1:9" ht="15.75" x14ac:dyDescent="0.25">
      <c r="A55" s="6" t="s">
        <v>66</v>
      </c>
      <c r="B55" s="59"/>
      <c r="C55" s="59"/>
      <c r="D55" s="60" t="s">
        <v>67</v>
      </c>
      <c r="E55" s="60" t="s">
        <v>68</v>
      </c>
      <c r="F55" s="60" t="s">
        <v>69</v>
      </c>
      <c r="G55" s="60" t="s">
        <v>70</v>
      </c>
      <c r="H55" s="6"/>
    </row>
    <row r="56" spans="1:9" ht="15.75" x14ac:dyDescent="0.25">
      <c r="A56" s="270" t="s">
        <v>4</v>
      </c>
      <c r="B56" s="6" t="s">
        <v>71</v>
      </c>
      <c r="C56" s="6"/>
      <c r="D56" s="271"/>
      <c r="E56" s="272"/>
      <c r="F56" s="273"/>
      <c r="G56" s="274"/>
      <c r="H56" s="35">
        <f>F56*E56*D56</f>
        <v>0</v>
      </c>
    </row>
    <row r="57" spans="1:9" ht="15.75" x14ac:dyDescent="0.25">
      <c r="A57" s="270"/>
      <c r="B57" s="6" t="s">
        <v>72</v>
      </c>
      <c r="C57" s="6"/>
      <c r="D57" s="271"/>
      <c r="E57" s="271"/>
      <c r="F57" s="271"/>
      <c r="G57" s="271"/>
      <c r="H57" s="35">
        <f>H27*G56</f>
        <v>0</v>
      </c>
    </row>
    <row r="58" spans="1:9" ht="15.75" x14ac:dyDescent="0.25">
      <c r="A58" s="270"/>
      <c r="B58" s="8" t="s">
        <v>73</v>
      </c>
      <c r="C58" s="8"/>
      <c r="D58" s="8"/>
      <c r="E58" s="27"/>
      <c r="F58" s="27"/>
      <c r="G58" s="61"/>
      <c r="H58" s="35">
        <f>H56-H57</f>
        <v>0</v>
      </c>
    </row>
    <row r="59" spans="1:9" ht="15.75" x14ac:dyDescent="0.25">
      <c r="A59" s="270" t="s">
        <v>7</v>
      </c>
      <c r="B59" s="6" t="s">
        <v>74</v>
      </c>
      <c r="C59" s="6"/>
      <c r="D59" s="271">
        <v>1</v>
      </c>
      <c r="E59" s="272">
        <v>1</v>
      </c>
      <c r="F59" s="273">
        <v>0</v>
      </c>
      <c r="G59" s="274">
        <v>0.2</v>
      </c>
      <c r="H59" s="35">
        <f>F59*E59*D59</f>
        <v>0</v>
      </c>
    </row>
    <row r="60" spans="1:9" ht="15.75" x14ac:dyDescent="0.25">
      <c r="A60" s="270"/>
      <c r="B60" s="6" t="s">
        <v>72</v>
      </c>
      <c r="C60" s="6"/>
      <c r="D60" s="271"/>
      <c r="E60" s="271"/>
      <c r="F60" s="271"/>
      <c r="G60" s="271"/>
      <c r="H60" s="35">
        <f>H59*G59</f>
        <v>0</v>
      </c>
    </row>
    <row r="61" spans="1:9" ht="15.75" x14ac:dyDescent="0.25">
      <c r="A61" s="270"/>
      <c r="B61" s="275" t="s">
        <v>75</v>
      </c>
      <c r="C61" s="275"/>
      <c r="D61" s="275"/>
      <c r="E61" s="275"/>
      <c r="F61" s="13"/>
      <c r="G61" s="13"/>
      <c r="H61" s="35">
        <f>H59-H60</f>
        <v>0</v>
      </c>
    </row>
    <row r="62" spans="1:9" ht="15.75" x14ac:dyDescent="0.25">
      <c r="A62" s="62" t="s">
        <v>9</v>
      </c>
      <c r="B62" s="275" t="s">
        <v>76</v>
      </c>
      <c r="C62" s="275"/>
      <c r="D62" s="275"/>
      <c r="E62" s="275"/>
      <c r="F62" s="13"/>
      <c r="G62" s="13"/>
      <c r="H62" s="35">
        <v>0</v>
      </c>
    </row>
    <row r="63" spans="1:9" ht="15.75" x14ac:dyDescent="0.25">
      <c r="A63" s="62" t="s">
        <v>17</v>
      </c>
      <c r="B63" s="117" t="s">
        <v>177</v>
      </c>
      <c r="C63" s="117"/>
      <c r="D63" s="117"/>
      <c r="E63" s="117" t="s">
        <v>163</v>
      </c>
      <c r="F63" s="13"/>
      <c r="G63" s="13"/>
      <c r="H63" s="35">
        <v>100</v>
      </c>
    </row>
    <row r="64" spans="1:9" ht="15.75" x14ac:dyDescent="0.25">
      <c r="A64" s="62" t="s">
        <v>40</v>
      </c>
      <c r="B64" s="116" t="s">
        <v>224</v>
      </c>
      <c r="C64" s="117"/>
      <c r="D64" s="117"/>
      <c r="E64" s="117"/>
      <c r="F64" s="13"/>
      <c r="G64" s="13"/>
      <c r="H64" s="35">
        <v>3.53</v>
      </c>
    </row>
    <row r="65" spans="1:13" ht="15.75" x14ac:dyDescent="0.25">
      <c r="A65" s="62" t="s">
        <v>42</v>
      </c>
      <c r="B65" s="116" t="s">
        <v>78</v>
      </c>
      <c r="C65" s="116"/>
      <c r="D65" s="116"/>
      <c r="E65" s="118">
        <v>0</v>
      </c>
      <c r="H65" s="35">
        <f>(1/12*H27)*E65</f>
        <v>0</v>
      </c>
      <c r="J65" s="125"/>
      <c r="K65" s="13"/>
      <c r="L65" s="13"/>
      <c r="M65" s="35"/>
    </row>
    <row r="66" spans="1:13" ht="15.75" x14ac:dyDescent="0.25">
      <c r="A66" s="63"/>
      <c r="B66" s="276" t="s">
        <v>45</v>
      </c>
      <c r="C66" s="276"/>
      <c r="D66" s="276"/>
      <c r="E66" s="276"/>
      <c r="F66" s="64"/>
      <c r="G66" s="64"/>
      <c r="H66" s="65">
        <f>H58+H61+H62+H63+H64+H65</f>
        <v>103.53</v>
      </c>
    </row>
    <row r="67" spans="1:13" ht="15.75" x14ac:dyDescent="0.25">
      <c r="A67" s="269" t="s">
        <v>79</v>
      </c>
      <c r="B67" s="269"/>
      <c r="C67" s="269"/>
      <c r="D67" s="269"/>
      <c r="E67" s="269"/>
      <c r="F67" s="269"/>
      <c r="G67" s="269"/>
      <c r="H67" s="269"/>
    </row>
    <row r="68" spans="1:13" ht="15.75" x14ac:dyDescent="0.25">
      <c r="A68" s="62" t="s">
        <v>47</v>
      </c>
      <c r="B68" s="8" t="s">
        <v>80</v>
      </c>
      <c r="C68" s="8"/>
      <c r="D68" s="66"/>
      <c r="E68" s="66"/>
      <c r="F68" s="13"/>
      <c r="G68" s="13"/>
      <c r="H68" s="67">
        <f>H43</f>
        <v>394.26470375039997</v>
      </c>
    </row>
    <row r="69" spans="1:13" ht="15.75" x14ac:dyDescent="0.25">
      <c r="A69" s="62" t="s">
        <v>52</v>
      </c>
      <c r="B69" s="8" t="s">
        <v>81</v>
      </c>
      <c r="C69" s="8"/>
      <c r="D69" s="66"/>
      <c r="E69" s="66"/>
      <c r="F69" s="13"/>
      <c r="G69" s="13"/>
      <c r="H69" s="67">
        <f>H53</f>
        <v>519.13612799999999</v>
      </c>
    </row>
    <row r="70" spans="1:13" ht="15.75" x14ac:dyDescent="0.25">
      <c r="A70" s="62" t="s">
        <v>64</v>
      </c>
      <c r="B70" s="8" t="s">
        <v>82</v>
      </c>
      <c r="C70" s="8"/>
      <c r="D70" s="66"/>
      <c r="E70" s="66"/>
      <c r="F70" s="13"/>
      <c r="G70" s="13"/>
      <c r="H70" s="67">
        <f>H66</f>
        <v>103.53</v>
      </c>
    </row>
    <row r="71" spans="1:13" ht="15.75" x14ac:dyDescent="0.25">
      <c r="A71" s="63"/>
      <c r="B71" s="126" t="s">
        <v>45</v>
      </c>
      <c r="C71" s="126"/>
      <c r="D71" s="126"/>
      <c r="E71" s="126"/>
      <c r="F71" s="64"/>
      <c r="G71" s="64"/>
      <c r="H71" s="65">
        <f>SUM(H68:H70)</f>
        <v>1016.9308317503999</v>
      </c>
    </row>
    <row r="72" spans="1:13" ht="15.75" x14ac:dyDescent="0.25">
      <c r="A72" s="68">
        <v>3</v>
      </c>
      <c r="B72" s="267" t="s">
        <v>83</v>
      </c>
      <c r="C72" s="267"/>
      <c r="D72" s="267"/>
      <c r="E72" s="267"/>
      <c r="F72" s="267"/>
      <c r="G72" s="267"/>
      <c r="H72" s="267"/>
    </row>
    <row r="73" spans="1:13" ht="15.75" x14ac:dyDescent="0.25">
      <c r="A73" s="1" t="s">
        <v>4</v>
      </c>
      <c r="B73" s="48" t="s">
        <v>84</v>
      </c>
      <c r="C73" s="48"/>
      <c r="D73" s="69"/>
      <c r="E73" s="69"/>
      <c r="F73" s="69"/>
      <c r="G73" s="45">
        <v>4.1999999999999997E-3</v>
      </c>
      <c r="H73" s="28">
        <f>SUM($H$37*G73)</f>
        <v>5.9249231999999994</v>
      </c>
    </row>
    <row r="74" spans="1:13" ht="15.75" x14ac:dyDescent="0.25">
      <c r="A74" s="1" t="s">
        <v>7</v>
      </c>
      <c r="B74" s="48" t="s">
        <v>85</v>
      </c>
      <c r="C74" s="48"/>
      <c r="D74" s="27"/>
      <c r="E74" s="27"/>
      <c r="F74" s="28"/>
      <c r="G74" s="45">
        <f>G73*0.08</f>
        <v>3.3599999999999998E-4</v>
      </c>
      <c r="H74" s="28">
        <f>SUM($H$37*G74)</f>
        <v>0.47399385599999994</v>
      </c>
      <c r="I74" s="115"/>
    </row>
    <row r="75" spans="1:13" ht="15.75" x14ac:dyDescent="0.25">
      <c r="A75" s="1" t="s">
        <v>9</v>
      </c>
      <c r="B75" s="48" t="s">
        <v>86</v>
      </c>
      <c r="C75" s="48"/>
      <c r="D75" s="70"/>
      <c r="E75" s="70"/>
      <c r="F75" s="70"/>
      <c r="G75" s="71">
        <v>2.0000000000000001E-4</v>
      </c>
      <c r="H75" s="72">
        <f>(ROUND(SUM($H$37*G75),2))</f>
        <v>0.28000000000000003</v>
      </c>
    </row>
    <row r="76" spans="1:13" ht="15.75" x14ac:dyDescent="0.25">
      <c r="A76" s="1" t="s">
        <v>17</v>
      </c>
      <c r="B76" s="27" t="s">
        <v>87</v>
      </c>
      <c r="C76" s="27"/>
      <c r="D76" s="69"/>
      <c r="E76" s="69"/>
      <c r="F76" s="69"/>
      <c r="G76" s="45">
        <v>1.9400000000000001E-2</v>
      </c>
      <c r="H76" s="28">
        <f>SUM($H$37*G76)</f>
        <v>27.367502399999999</v>
      </c>
    </row>
    <row r="77" spans="1:13" ht="15.75" x14ac:dyDescent="0.25">
      <c r="A77" s="1" t="s">
        <v>40</v>
      </c>
      <c r="B77" s="48" t="s">
        <v>226</v>
      </c>
      <c r="C77" s="48"/>
      <c r="D77" s="27"/>
      <c r="E77" s="27"/>
      <c r="F77" s="28"/>
      <c r="G77" s="45">
        <f>G76*G53</f>
        <v>7.1392000000000027E-3</v>
      </c>
      <c r="H77" s="28">
        <f>SUM($H$37*G77)</f>
        <v>10.071240883200003</v>
      </c>
      <c r="I77" s="115"/>
    </row>
    <row r="78" spans="1:13" ht="15.75" x14ac:dyDescent="0.25">
      <c r="A78" s="1" t="s">
        <v>42</v>
      </c>
      <c r="B78" s="27" t="s">
        <v>89</v>
      </c>
      <c r="C78" s="27"/>
      <c r="D78" s="70"/>
      <c r="E78" s="70"/>
      <c r="F78" s="70"/>
      <c r="G78" s="52">
        <v>1E-4</v>
      </c>
      <c r="H78" s="28">
        <f>SUM($H$37*G78)</f>
        <v>0.14106959999999999</v>
      </c>
    </row>
    <row r="79" spans="1:13" ht="15.75" x14ac:dyDescent="0.25">
      <c r="A79" s="73"/>
      <c r="B79" s="55" t="s">
        <v>45</v>
      </c>
      <c r="C79" s="55"/>
      <c r="D79" s="41"/>
      <c r="E79" s="41"/>
      <c r="F79" s="74"/>
      <c r="G79" s="57">
        <f>SUM(G73:G78)</f>
        <v>3.1375200000000006E-2</v>
      </c>
      <c r="H79" s="58">
        <f>SUM(H73:H78)</f>
        <v>44.258729939200002</v>
      </c>
    </row>
    <row r="80" spans="1:13" ht="15.75" x14ac:dyDescent="0.25">
      <c r="A80" s="44">
        <v>4</v>
      </c>
      <c r="B80" s="277" t="s">
        <v>90</v>
      </c>
      <c r="C80" s="277"/>
      <c r="D80" s="277"/>
      <c r="E80" s="277"/>
      <c r="F80" s="277"/>
      <c r="G80" s="277"/>
      <c r="H80" s="277"/>
    </row>
    <row r="81" spans="1:9" ht="15.75" x14ac:dyDescent="0.25">
      <c r="A81" s="75" t="s">
        <v>91</v>
      </c>
      <c r="B81" s="269" t="s">
        <v>237</v>
      </c>
      <c r="C81" s="269"/>
      <c r="D81" s="269"/>
      <c r="E81" s="269"/>
      <c r="F81" s="269"/>
      <c r="G81" s="269"/>
      <c r="H81" s="269"/>
    </row>
    <row r="82" spans="1:9" ht="15.75" x14ac:dyDescent="0.25">
      <c r="A82" s="12" t="s">
        <v>4</v>
      </c>
      <c r="B82" s="51" t="s">
        <v>227</v>
      </c>
      <c r="C82" s="51"/>
      <c r="D82" s="53"/>
      <c r="E82" s="53"/>
      <c r="F82" s="53"/>
      <c r="G82" s="45">
        <f>(G40+G41)/12</f>
        <v>1.7024999999999998E-2</v>
      </c>
      <c r="H82" s="28"/>
    </row>
    <row r="83" spans="1:9" ht="15.75" x14ac:dyDescent="0.25">
      <c r="A83" s="123" t="s">
        <v>7</v>
      </c>
      <c r="B83" s="51" t="s">
        <v>228</v>
      </c>
      <c r="C83" s="268" t="s">
        <v>95</v>
      </c>
      <c r="D83" s="76">
        <v>1</v>
      </c>
      <c r="E83" s="268" t="s">
        <v>96</v>
      </c>
      <c r="F83" s="77">
        <v>1</v>
      </c>
      <c r="G83" s="45">
        <f t="shared" ref="G83:G88" si="1">D83/360*F83</f>
        <v>2.7777777777777779E-3</v>
      </c>
      <c r="H83" s="28">
        <f>SUM(H$37*G83)</f>
        <v>3.9186000000000001</v>
      </c>
    </row>
    <row r="84" spans="1:9" ht="15.75" x14ac:dyDescent="0.25">
      <c r="A84" s="12" t="s">
        <v>9</v>
      </c>
      <c r="B84" s="51" t="s">
        <v>229</v>
      </c>
      <c r="C84" s="268"/>
      <c r="D84" s="76">
        <v>20</v>
      </c>
      <c r="E84" s="268"/>
      <c r="F84" s="77">
        <v>1.4999999999999999E-2</v>
      </c>
      <c r="G84" s="45">
        <f t="shared" si="1"/>
        <v>8.3333333333333328E-4</v>
      </c>
      <c r="H84" s="28">
        <f>SUM(H$37*G84)</f>
        <v>1.1755799999999998</v>
      </c>
    </row>
    <row r="85" spans="1:9" ht="15.75" x14ac:dyDescent="0.25">
      <c r="A85" s="12" t="s">
        <v>17</v>
      </c>
      <c r="B85" s="51" t="s">
        <v>230</v>
      </c>
      <c r="C85" s="268"/>
      <c r="D85" s="76">
        <v>15</v>
      </c>
      <c r="E85" s="268"/>
      <c r="F85" s="78">
        <v>1.3299999999999999E-2</v>
      </c>
      <c r="G85" s="45">
        <f t="shared" si="1"/>
        <v>5.5416666666666657E-4</v>
      </c>
      <c r="H85" s="28">
        <f>SUM(H$37*G85)</f>
        <v>0.78176069999999986</v>
      </c>
    </row>
    <row r="86" spans="1:9" ht="15.75" x14ac:dyDescent="0.25">
      <c r="A86" s="12" t="s">
        <v>40</v>
      </c>
      <c r="B86" s="51" t="s">
        <v>231</v>
      </c>
      <c r="C86" s="268"/>
      <c r="D86" s="76">
        <v>180</v>
      </c>
      <c r="E86" s="268"/>
      <c r="F86" s="77">
        <v>1.8599999999999998E-2</v>
      </c>
      <c r="G86" s="45">
        <f t="shared" si="1"/>
        <v>9.2999999999999992E-3</v>
      </c>
      <c r="H86" s="28">
        <f>SUM(H$37*G86)</f>
        <v>13.119472799999999</v>
      </c>
    </row>
    <row r="87" spans="1:9" ht="15.75" x14ac:dyDescent="0.25">
      <c r="A87" s="12" t="s">
        <v>42</v>
      </c>
      <c r="B87" s="51" t="s">
        <v>232</v>
      </c>
      <c r="C87" s="268"/>
      <c r="D87" s="79">
        <v>5</v>
      </c>
      <c r="E87" s="268"/>
      <c r="F87" s="80">
        <v>1</v>
      </c>
      <c r="G87" s="45">
        <f t="shared" si="1"/>
        <v>1.3888888888888888E-2</v>
      </c>
      <c r="H87" s="81">
        <f>SUM(H$37*G87)</f>
        <v>19.592999999999996</v>
      </c>
    </row>
    <row r="88" spans="1:9" ht="15.75" x14ac:dyDescent="0.25">
      <c r="A88" s="12" t="s">
        <v>61</v>
      </c>
      <c r="B88" s="51" t="s">
        <v>101</v>
      </c>
      <c r="C88" s="268"/>
      <c r="D88" s="79"/>
      <c r="E88" s="268"/>
      <c r="F88" s="82"/>
      <c r="G88" s="45">
        <f t="shared" si="1"/>
        <v>0</v>
      </c>
      <c r="H88" s="81"/>
    </row>
    <row r="89" spans="1:9" ht="15.75" x14ac:dyDescent="0.25">
      <c r="A89" s="19"/>
      <c r="B89" s="6" t="s">
        <v>102</v>
      </c>
      <c r="C89" s="6"/>
      <c r="D89" s="27"/>
      <c r="E89" s="27"/>
      <c r="F89" s="28"/>
      <c r="G89" s="45">
        <f>SUM(G82:G88)</f>
        <v>4.4379166666666664E-2</v>
      </c>
      <c r="H89" s="28">
        <f>SUM(H82:H88)</f>
        <v>38.588413499999994</v>
      </c>
    </row>
    <row r="90" spans="1:9" ht="15.75" x14ac:dyDescent="0.25">
      <c r="A90" s="12" t="s">
        <v>42</v>
      </c>
      <c r="B90" s="51" t="s">
        <v>103</v>
      </c>
      <c r="C90" s="51"/>
      <c r="D90" s="27"/>
      <c r="E90" s="27"/>
      <c r="F90" s="28"/>
      <c r="G90" s="45">
        <f>G89*G53</f>
        <v>1.6331533333333335E-2</v>
      </c>
      <c r="H90" s="28">
        <f>SUM(H89*G53)</f>
        <v>14.200536168000003</v>
      </c>
      <c r="I90" s="115">
        <f>SUM(H83:H89)*G53</f>
        <v>28.401072336000006</v>
      </c>
    </row>
    <row r="91" spans="1:9" ht="15.75" x14ac:dyDescent="0.25">
      <c r="A91" s="73"/>
      <c r="B91" s="55" t="s">
        <v>45</v>
      </c>
      <c r="C91" s="55"/>
      <c r="D91" s="41"/>
      <c r="E91" s="41"/>
      <c r="F91" s="74"/>
      <c r="G91" s="57">
        <f>G90+G89</f>
        <v>6.0710699999999999E-2</v>
      </c>
      <c r="H91" s="58">
        <f>SUM(H89:H90)</f>
        <v>52.788949668000001</v>
      </c>
    </row>
    <row r="92" spans="1:9" ht="15.75" x14ac:dyDescent="0.25">
      <c r="A92" s="75" t="s">
        <v>104</v>
      </c>
      <c r="B92" s="269" t="s">
        <v>233</v>
      </c>
      <c r="C92" s="269"/>
      <c r="D92" s="269"/>
      <c r="E92" s="269"/>
      <c r="F92" s="269"/>
      <c r="G92" s="269"/>
      <c r="H92" s="269"/>
    </row>
    <row r="93" spans="1:9" ht="15.75" x14ac:dyDescent="0.25">
      <c r="A93" s="12" t="s">
        <v>4</v>
      </c>
      <c r="B93" s="51" t="s">
        <v>235</v>
      </c>
      <c r="C93" s="51"/>
      <c r="D93" s="53"/>
      <c r="E93" s="53"/>
      <c r="F93" s="53"/>
      <c r="G93" s="52">
        <v>0</v>
      </c>
      <c r="H93" s="28">
        <f>SUM(H$37*G93)</f>
        <v>0</v>
      </c>
    </row>
    <row r="94" spans="1:9" ht="15.75" x14ac:dyDescent="0.25">
      <c r="A94" s="12" t="s">
        <v>7</v>
      </c>
      <c r="B94" s="51" t="s">
        <v>107</v>
      </c>
      <c r="C94" s="51"/>
      <c r="D94" s="53"/>
      <c r="E94" s="53"/>
      <c r="F94" s="53"/>
      <c r="G94" s="45">
        <f>G93*G53</f>
        <v>0</v>
      </c>
      <c r="H94" s="28">
        <f>SUM($H$37*G94)</f>
        <v>0</v>
      </c>
    </row>
    <row r="95" spans="1:9" ht="15.75" x14ac:dyDescent="0.25">
      <c r="A95" s="73"/>
      <c r="B95" s="55" t="s">
        <v>45</v>
      </c>
      <c r="C95" s="55"/>
      <c r="D95" s="41"/>
      <c r="E95" s="41"/>
      <c r="F95" s="74"/>
      <c r="G95" s="57">
        <f>G94+G93</f>
        <v>0</v>
      </c>
      <c r="H95" s="58">
        <f>SUM(H93:H94)</f>
        <v>0</v>
      </c>
    </row>
    <row r="96" spans="1:9" ht="15.75" x14ac:dyDescent="0.25">
      <c r="A96" s="269" t="s">
        <v>108</v>
      </c>
      <c r="B96" s="269"/>
      <c r="C96" s="269"/>
      <c r="D96" s="269"/>
      <c r="E96" s="269"/>
      <c r="F96" s="269"/>
      <c r="G96" s="269"/>
      <c r="H96" s="269"/>
    </row>
    <row r="97" spans="1:12" ht="15.75" x14ac:dyDescent="0.25">
      <c r="A97" s="12" t="s">
        <v>91</v>
      </c>
      <c r="B97" s="51" t="s">
        <v>236</v>
      </c>
      <c r="C97" s="51"/>
      <c r="D97" s="53"/>
      <c r="E97" s="53"/>
      <c r="F97" s="53"/>
      <c r="G97" s="45">
        <f>G91</f>
        <v>6.0710699999999999E-2</v>
      </c>
      <c r="H97" s="28">
        <f>H91</f>
        <v>52.788949668000001</v>
      </c>
    </row>
    <row r="98" spans="1:12" ht="15.75" x14ac:dyDescent="0.25">
      <c r="A98" s="12" t="s">
        <v>104</v>
      </c>
      <c r="B98" s="51" t="s">
        <v>234</v>
      </c>
      <c r="C98" s="51"/>
      <c r="D98" s="53"/>
      <c r="E98" s="53"/>
      <c r="F98" s="53"/>
      <c r="G98" s="45">
        <f>G95</f>
        <v>0</v>
      </c>
      <c r="H98" s="28">
        <f>H95</f>
        <v>0</v>
      </c>
    </row>
    <row r="99" spans="1:12" ht="15.75" x14ac:dyDescent="0.25">
      <c r="A99" s="73"/>
      <c r="B99" s="55" t="s">
        <v>45</v>
      </c>
      <c r="C99" s="55"/>
      <c r="D99" s="41"/>
      <c r="E99" s="41"/>
      <c r="F99" s="74"/>
      <c r="G99" s="57">
        <f>G95+G91</f>
        <v>6.0710699999999999E-2</v>
      </c>
      <c r="H99" s="58">
        <f>SUM(H97:H98)</f>
        <v>52.788949668000001</v>
      </c>
    </row>
    <row r="100" spans="1:12" ht="15.75" x14ac:dyDescent="0.25">
      <c r="A100" s="83">
        <v>5</v>
      </c>
      <c r="B100" s="269" t="s">
        <v>110</v>
      </c>
      <c r="C100" s="269"/>
      <c r="D100" s="269"/>
      <c r="E100" s="269"/>
      <c r="F100" s="269"/>
      <c r="G100" s="269"/>
      <c r="H100" s="269"/>
    </row>
    <row r="101" spans="1:12" ht="15.75" x14ac:dyDescent="0.25">
      <c r="A101" s="12" t="s">
        <v>4</v>
      </c>
      <c r="B101" s="13" t="s">
        <v>111</v>
      </c>
      <c r="C101" s="13"/>
      <c r="D101" s="84"/>
      <c r="E101" s="27"/>
      <c r="F101" s="85"/>
      <c r="G101" s="85"/>
      <c r="H101" s="85">
        <v>23.84</v>
      </c>
    </row>
    <row r="102" spans="1:12" ht="15.75" x14ac:dyDescent="0.25">
      <c r="A102" s="12" t="s">
        <v>7</v>
      </c>
      <c r="B102" s="13" t="s">
        <v>112</v>
      </c>
      <c r="C102" s="13"/>
      <c r="D102" s="84"/>
      <c r="E102" s="27"/>
      <c r="F102" s="85"/>
      <c r="G102" s="85"/>
      <c r="H102" s="85"/>
    </row>
    <row r="103" spans="1:12" ht="15.75" x14ac:dyDescent="0.25">
      <c r="A103" s="12" t="s">
        <v>9</v>
      </c>
      <c r="B103" s="13" t="s">
        <v>113</v>
      </c>
      <c r="C103" s="13"/>
      <c r="D103" s="84"/>
      <c r="E103" s="27"/>
      <c r="F103" s="85"/>
      <c r="G103" s="85"/>
      <c r="H103" s="85">
        <v>5.47</v>
      </c>
    </row>
    <row r="104" spans="1:12" ht="15.75" x14ac:dyDescent="0.25">
      <c r="A104" s="12" t="s">
        <v>17</v>
      </c>
      <c r="B104" s="13" t="s">
        <v>164</v>
      </c>
      <c r="C104" s="13"/>
      <c r="D104" s="84"/>
      <c r="E104" s="27"/>
      <c r="F104" s="85"/>
      <c r="G104" s="85"/>
      <c r="H104" s="85">
        <v>51.38</v>
      </c>
    </row>
    <row r="105" spans="1:12" ht="15.75" x14ac:dyDescent="0.25">
      <c r="A105" s="12" t="s">
        <v>40</v>
      </c>
      <c r="B105" s="13" t="s">
        <v>101</v>
      </c>
      <c r="C105" s="13"/>
      <c r="D105" s="84"/>
      <c r="E105" s="27"/>
      <c r="F105" s="85"/>
      <c r="G105" s="85"/>
      <c r="H105" s="85">
        <v>0</v>
      </c>
    </row>
    <row r="106" spans="1:12" ht="15.75" x14ac:dyDescent="0.25">
      <c r="A106" s="73"/>
      <c r="B106" s="55" t="s">
        <v>45</v>
      </c>
      <c r="C106" s="55"/>
      <c r="D106" s="41"/>
      <c r="E106" s="41"/>
      <c r="F106" s="74"/>
      <c r="G106" s="57"/>
      <c r="H106" s="58">
        <f>SUM(H101:H105)</f>
        <v>80.69</v>
      </c>
    </row>
    <row r="107" spans="1:12" ht="15.75" x14ac:dyDescent="0.25">
      <c r="A107" s="83">
        <v>6</v>
      </c>
      <c r="B107" s="269" t="s">
        <v>114</v>
      </c>
      <c r="C107" s="269"/>
      <c r="D107" s="269"/>
      <c r="E107" s="269"/>
      <c r="F107" s="269"/>
      <c r="G107" s="269"/>
      <c r="H107" s="269"/>
    </row>
    <row r="108" spans="1:12" ht="15.75" x14ac:dyDescent="0.25">
      <c r="A108" s="86" t="s">
        <v>4</v>
      </c>
      <c r="B108" s="27"/>
      <c r="C108" s="27"/>
      <c r="D108" s="27"/>
      <c r="E108" s="27"/>
      <c r="F108" s="27" t="s">
        <v>115</v>
      </c>
      <c r="G108" s="52">
        <v>0.01</v>
      </c>
      <c r="H108" s="28">
        <f>G108*H123</f>
        <v>26.053645113576</v>
      </c>
    </row>
    <row r="109" spans="1:12" ht="15.75" x14ac:dyDescent="0.25">
      <c r="A109" s="86" t="s">
        <v>7</v>
      </c>
      <c r="B109" s="27"/>
      <c r="C109" s="27"/>
      <c r="D109" s="27"/>
      <c r="E109" s="27"/>
      <c r="F109" s="12" t="s">
        <v>116</v>
      </c>
      <c r="G109" s="52">
        <v>0.01</v>
      </c>
      <c r="H109" s="28">
        <f>SUM(H108+H123)*$G$109</f>
        <v>26.31418156471176</v>
      </c>
    </row>
    <row r="110" spans="1:12" ht="15.75" x14ac:dyDescent="0.25">
      <c r="A110" s="86" t="s">
        <v>9</v>
      </c>
      <c r="B110" s="27"/>
      <c r="C110" s="27"/>
      <c r="D110" s="27"/>
      <c r="E110" s="27"/>
      <c r="F110" s="12" t="s">
        <v>117</v>
      </c>
      <c r="G110" s="87">
        <f>SUM(G111:G115)</f>
        <v>8.6499999999999994E-2</v>
      </c>
      <c r="H110" s="28">
        <f>H112+H113+H115</f>
        <v>251.66266802419736</v>
      </c>
    </row>
    <row r="111" spans="1:12" ht="15.75" x14ac:dyDescent="0.25">
      <c r="A111" s="86" t="s">
        <v>118</v>
      </c>
      <c r="B111" s="27"/>
      <c r="C111" s="27"/>
      <c r="D111" s="27"/>
      <c r="E111" s="27"/>
      <c r="F111" s="88" t="s">
        <v>119</v>
      </c>
      <c r="G111" s="45">
        <v>0</v>
      </c>
      <c r="H111" s="28"/>
      <c r="L111" s="115"/>
    </row>
    <row r="112" spans="1:12" ht="15.75" x14ac:dyDescent="0.25">
      <c r="A112" s="86" t="s">
        <v>120</v>
      </c>
      <c r="B112" s="27"/>
      <c r="C112" s="27"/>
      <c r="D112" s="27"/>
      <c r="E112" s="27"/>
      <c r="F112" s="88" t="s">
        <v>121</v>
      </c>
      <c r="G112" s="52">
        <v>6.4999999999999997E-3</v>
      </c>
      <c r="H112" s="28">
        <f>((H108+H109+H123)/0.9135)*G112</f>
        <v>18.911067539390551</v>
      </c>
      <c r="J112" s="120"/>
      <c r="L112" s="115"/>
    </row>
    <row r="113" spans="1:13" ht="15.75" x14ac:dyDescent="0.25">
      <c r="A113" s="86" t="s">
        <v>122</v>
      </c>
      <c r="B113" s="27"/>
      <c r="C113" s="27"/>
      <c r="D113" s="27"/>
      <c r="E113" s="27"/>
      <c r="F113" s="88" t="s">
        <v>123</v>
      </c>
      <c r="G113" s="52">
        <v>0.03</v>
      </c>
      <c r="H113" s="28">
        <f>((H108+H109+H123)/0.9135)*G113</f>
        <v>87.281850181802554</v>
      </c>
    </row>
    <row r="114" spans="1:13" ht="15.75" x14ac:dyDescent="0.25">
      <c r="A114" s="86" t="s">
        <v>124</v>
      </c>
      <c r="B114" s="27"/>
      <c r="C114" s="27"/>
      <c r="D114" s="27"/>
      <c r="E114" s="27"/>
      <c r="F114" s="88" t="s">
        <v>125</v>
      </c>
      <c r="G114" s="45">
        <v>0</v>
      </c>
      <c r="H114" s="28"/>
      <c r="M114" s="115"/>
    </row>
    <row r="115" spans="1:13" ht="15.75" x14ac:dyDescent="0.25">
      <c r="A115" s="86" t="s">
        <v>126</v>
      </c>
      <c r="B115" s="27"/>
      <c r="C115" s="27"/>
      <c r="D115" s="27"/>
      <c r="E115" s="27"/>
      <c r="F115" s="88" t="s">
        <v>127</v>
      </c>
      <c r="G115" s="45">
        <v>0.05</v>
      </c>
      <c r="H115" s="28">
        <f>((H108+H109+H123)/0.9135)*G115</f>
        <v>145.46975030300425</v>
      </c>
    </row>
    <row r="116" spans="1:13" ht="15.75" x14ac:dyDescent="0.25">
      <c r="A116" s="73"/>
      <c r="B116" s="55" t="s">
        <v>45</v>
      </c>
      <c r="C116" s="55"/>
      <c r="D116" s="41"/>
      <c r="E116" s="41"/>
      <c r="F116" s="74"/>
      <c r="G116" s="57">
        <f>G110+G109+G108</f>
        <v>0.10649999999999998</v>
      </c>
      <c r="H116" s="58">
        <f>H108+H109+H110</f>
        <v>304.0304947024851</v>
      </c>
    </row>
    <row r="117" spans="1:13" ht="15.75" x14ac:dyDescent="0.25">
      <c r="A117" s="89"/>
      <c r="B117" s="267" t="s">
        <v>128</v>
      </c>
      <c r="C117" s="267"/>
      <c r="D117" s="267"/>
      <c r="E117" s="267"/>
      <c r="F117" s="267"/>
      <c r="G117" s="267"/>
      <c r="H117" s="267"/>
    </row>
    <row r="118" spans="1:13" ht="15.75" x14ac:dyDescent="0.25">
      <c r="A118" s="90" t="s">
        <v>4</v>
      </c>
      <c r="B118" s="27" t="s">
        <v>30</v>
      </c>
      <c r="C118" s="27"/>
      <c r="D118" s="27"/>
      <c r="E118" s="27"/>
      <c r="F118" s="28"/>
      <c r="G118" s="45">
        <f>SUM(H118/H$125)</f>
        <v>0.48487606428883318</v>
      </c>
      <c r="H118" s="28">
        <f>SUM(H37)</f>
        <v>1410.6959999999999</v>
      </c>
    </row>
    <row r="119" spans="1:13" ht="15.75" x14ac:dyDescent="0.25">
      <c r="A119" s="90" t="s">
        <v>7</v>
      </c>
      <c r="B119" s="27" t="s">
        <v>129</v>
      </c>
      <c r="C119" s="27"/>
      <c r="D119" s="27"/>
      <c r="E119" s="27"/>
      <c r="F119" s="28"/>
      <c r="G119" s="45">
        <f>SUM(H119/H$125)</f>
        <v>0.34953343551913629</v>
      </c>
      <c r="H119" s="28">
        <f>H71</f>
        <v>1016.9308317503999</v>
      </c>
    </row>
    <row r="120" spans="1:13" ht="15.75" x14ac:dyDescent="0.25">
      <c r="A120" s="90" t="s">
        <v>9</v>
      </c>
      <c r="B120" s="27" t="s">
        <v>130</v>
      </c>
      <c r="C120" s="27"/>
      <c r="D120" s="27"/>
      <c r="E120" s="27"/>
      <c r="F120" s="28"/>
      <c r="G120" s="45">
        <f>SUM(H120/H$125)</f>
        <v>1.5212348219135552E-2</v>
      </c>
      <c r="H120" s="28">
        <f>H79</f>
        <v>44.258729939200002</v>
      </c>
    </row>
    <row r="121" spans="1:13" ht="15.75" x14ac:dyDescent="0.25">
      <c r="A121" s="90" t="s">
        <v>17</v>
      </c>
      <c r="B121" s="27" t="s">
        <v>131</v>
      </c>
      <c r="C121" s="27"/>
      <c r="D121" s="27"/>
      <c r="E121" s="27"/>
      <c r="F121" s="28"/>
      <c r="G121" s="45">
        <f>SUM(H121/H$125)</f>
        <v>1.8144304763720281E-2</v>
      </c>
      <c r="H121" s="28">
        <f>H99</f>
        <v>52.788949668000001</v>
      </c>
    </row>
    <row r="122" spans="1:13" ht="15.75" x14ac:dyDescent="0.25">
      <c r="A122" s="90" t="s">
        <v>40</v>
      </c>
      <c r="B122" s="27" t="s">
        <v>110</v>
      </c>
      <c r="C122" s="27"/>
      <c r="D122" s="27"/>
      <c r="E122" s="27"/>
      <c r="F122" s="28"/>
      <c r="G122" s="45">
        <f>H122/H125</f>
        <v>2.7734288342396909E-2</v>
      </c>
      <c r="H122" s="28">
        <f>H106</f>
        <v>80.69</v>
      </c>
    </row>
    <row r="123" spans="1:13" ht="15.75" x14ac:dyDescent="0.25">
      <c r="A123" s="90"/>
      <c r="B123" s="27" t="s">
        <v>132</v>
      </c>
      <c r="C123" s="27"/>
      <c r="D123" s="27"/>
      <c r="E123" s="27"/>
      <c r="F123" s="28"/>
      <c r="G123" s="45">
        <f>SUM(G118:G122)</f>
        <v>0.89550044113322214</v>
      </c>
      <c r="H123" s="28">
        <f>SUM(H118:H122)</f>
        <v>2605.3645113575999</v>
      </c>
      <c r="L123">
        <v>2594.79</v>
      </c>
    </row>
    <row r="124" spans="1:13" ht="15.75" x14ac:dyDescent="0.25">
      <c r="A124" s="90" t="s">
        <v>40</v>
      </c>
      <c r="B124" s="27" t="s">
        <v>133</v>
      </c>
      <c r="C124" s="27"/>
      <c r="D124" s="27"/>
      <c r="E124" s="27"/>
      <c r="F124" s="28"/>
      <c r="G124" s="45">
        <f>SUM(H124/H$125)</f>
        <v>0.10449955886677777</v>
      </c>
      <c r="H124" s="28">
        <f>H110+H109+H108</f>
        <v>304.0304947024851</v>
      </c>
      <c r="I124" s="115"/>
      <c r="L124" s="115">
        <v>598.04999999999995</v>
      </c>
      <c r="M124" s="115"/>
    </row>
    <row r="125" spans="1:13" ht="15.75" x14ac:dyDescent="0.25">
      <c r="A125" s="55"/>
      <c r="B125" s="55" t="s">
        <v>134</v>
      </c>
      <c r="C125" s="55"/>
      <c r="D125" s="55"/>
      <c r="E125" s="55"/>
      <c r="F125" s="55"/>
      <c r="G125" s="55">
        <f>SUM(G123+G124)</f>
        <v>0.99999999999999989</v>
      </c>
      <c r="H125" s="91">
        <f>H124+H123</f>
        <v>2909.3950060600851</v>
      </c>
      <c r="I125" s="115">
        <f>H123+H124</f>
        <v>2909.3950060600851</v>
      </c>
      <c r="J125" s="115"/>
      <c r="L125">
        <v>3192.84</v>
      </c>
    </row>
    <row r="126" spans="1:13" ht="15.75" x14ac:dyDescent="0.25">
      <c r="A126" s="92"/>
      <c r="B126" s="267" t="s">
        <v>135</v>
      </c>
      <c r="C126" s="267"/>
      <c r="D126" s="267"/>
      <c r="E126" s="267"/>
      <c r="F126" s="267"/>
      <c r="G126" s="267"/>
      <c r="H126" s="267"/>
      <c r="L126" s="115"/>
    </row>
    <row r="127" spans="1:13" ht="47.25" x14ac:dyDescent="0.25">
      <c r="A127" s="27"/>
      <c r="B127" s="16" t="s">
        <v>20</v>
      </c>
      <c r="C127" s="16"/>
      <c r="D127" s="93" t="s">
        <v>136</v>
      </c>
      <c r="E127" s="93" t="s">
        <v>137</v>
      </c>
      <c r="F127" s="94" t="s">
        <v>138</v>
      </c>
      <c r="G127" s="93" t="s">
        <v>139</v>
      </c>
      <c r="H127" s="95" t="s">
        <v>140</v>
      </c>
      <c r="L127" s="115"/>
    </row>
    <row r="128" spans="1:13" ht="15.75" x14ac:dyDescent="0.25">
      <c r="A128" s="27"/>
      <c r="B128" s="3" t="s">
        <v>141</v>
      </c>
      <c r="C128" s="3"/>
      <c r="D128" s="3" t="s">
        <v>142</v>
      </c>
      <c r="E128" s="96" t="s">
        <v>143</v>
      </c>
      <c r="F128" s="97" t="s">
        <v>144</v>
      </c>
      <c r="G128" s="3" t="s">
        <v>145</v>
      </c>
      <c r="H128" s="98" t="s">
        <v>146</v>
      </c>
    </row>
    <row r="129" spans="1:8" ht="15.75" x14ac:dyDescent="0.25">
      <c r="A129" s="1"/>
      <c r="B129" s="14"/>
      <c r="C129" s="14"/>
      <c r="D129" s="99">
        <f>SUM(H125)</f>
        <v>2909.3950060600851</v>
      </c>
      <c r="E129" s="100">
        <v>5</v>
      </c>
      <c r="F129" s="99">
        <f>D129*E129</f>
        <v>14546.975030300426</v>
      </c>
      <c r="G129" s="101">
        <v>5</v>
      </c>
      <c r="H129" s="28">
        <f>E129*D129</f>
        <v>14546.975030300426</v>
      </c>
    </row>
    <row r="130" spans="1:8" ht="15.75" x14ac:dyDescent="0.25">
      <c r="A130" s="27"/>
      <c r="B130" s="102" t="s">
        <v>147</v>
      </c>
      <c r="C130" s="102"/>
      <c r="D130" s="103"/>
      <c r="E130" s="103"/>
      <c r="F130" s="103"/>
      <c r="G130" s="103"/>
      <c r="H130" s="104">
        <f>SUM(H129)</f>
        <v>14546.975030300426</v>
      </c>
    </row>
    <row r="131" spans="1:8" ht="15.75" x14ac:dyDescent="0.25">
      <c r="A131" s="27"/>
      <c r="B131" s="16"/>
      <c r="C131" s="16"/>
      <c r="D131" s="105"/>
      <c r="E131" s="16"/>
      <c r="F131" s="16"/>
      <c r="G131" s="16"/>
      <c r="H131" s="16"/>
    </row>
    <row r="132" spans="1:8" ht="15.75" x14ac:dyDescent="0.25">
      <c r="A132" s="83"/>
      <c r="B132" s="267" t="s">
        <v>148</v>
      </c>
      <c r="C132" s="267"/>
      <c r="D132" s="267"/>
      <c r="E132" s="267"/>
      <c r="F132" s="267"/>
      <c r="G132" s="267"/>
      <c r="H132" s="267"/>
    </row>
    <row r="133" spans="1:8" ht="15.75" x14ac:dyDescent="0.25">
      <c r="A133" s="106"/>
      <c r="B133" s="106" t="s">
        <v>149</v>
      </c>
      <c r="C133" s="106"/>
      <c r="D133" s="106"/>
      <c r="E133" s="16"/>
      <c r="F133" s="16"/>
      <c r="G133" s="16"/>
      <c r="H133" s="107" t="s">
        <v>150</v>
      </c>
    </row>
    <row r="134" spans="1:8" ht="15.75" x14ac:dyDescent="0.25">
      <c r="A134" s="108" t="s">
        <v>4</v>
      </c>
      <c r="B134" s="109" t="s">
        <v>151</v>
      </c>
      <c r="C134" s="109"/>
      <c r="D134" s="109"/>
      <c r="E134" s="13"/>
      <c r="F134" s="13"/>
      <c r="G134" s="13"/>
      <c r="H134" s="107">
        <f>D129</f>
        <v>2909.3950060600851</v>
      </c>
    </row>
    <row r="135" spans="1:8" ht="15.75" x14ac:dyDescent="0.25">
      <c r="A135" s="108" t="s">
        <v>7</v>
      </c>
      <c r="B135" s="109" t="s">
        <v>152</v>
      </c>
      <c r="C135" s="109"/>
      <c r="D135" s="109"/>
      <c r="E135" s="13"/>
      <c r="F135" s="13"/>
      <c r="G135" s="13"/>
      <c r="H135" s="107">
        <f>H130</f>
        <v>14546.975030300426</v>
      </c>
    </row>
    <row r="136" spans="1:8" ht="15.75" x14ac:dyDescent="0.25">
      <c r="A136" s="108" t="s">
        <v>17</v>
      </c>
      <c r="B136" s="7" t="s">
        <v>153</v>
      </c>
      <c r="C136" s="7"/>
      <c r="D136" s="109"/>
      <c r="E136" s="13"/>
      <c r="F136" s="13"/>
      <c r="G136" s="100">
        <v>12</v>
      </c>
      <c r="H136" s="107">
        <f>SUM(H135*G136)</f>
        <v>174563.70036360511</v>
      </c>
    </row>
    <row r="137" spans="1:8" ht="15.75" x14ac:dyDescent="0.25">
      <c r="A137" s="6"/>
      <c r="B137" s="6"/>
      <c r="C137" s="6"/>
      <c r="D137" s="6"/>
      <c r="E137" s="6"/>
      <c r="F137" s="6"/>
      <c r="G137" s="6"/>
      <c r="H137" s="6"/>
    </row>
    <row r="140" spans="1:8" x14ac:dyDescent="0.25">
      <c r="A140" s="149" t="s">
        <v>204</v>
      </c>
      <c r="B140" s="149"/>
    </row>
    <row r="141" spans="1:8" x14ac:dyDescent="0.25">
      <c r="A141" s="149" t="s">
        <v>205</v>
      </c>
      <c r="B141" s="149"/>
    </row>
    <row r="142" spans="1:8" x14ac:dyDescent="0.25">
      <c r="A142" s="149" t="s">
        <v>206</v>
      </c>
      <c r="B142" s="149"/>
    </row>
    <row r="143" spans="1:8" x14ac:dyDescent="0.25">
      <c r="A143" s="149"/>
      <c r="B143" s="149"/>
    </row>
    <row r="144" spans="1:8" x14ac:dyDescent="0.25">
      <c r="A144" s="149" t="s">
        <v>207</v>
      </c>
      <c r="B144" s="149"/>
    </row>
    <row r="146" spans="1:6" x14ac:dyDescent="0.25">
      <c r="A146" t="s">
        <v>208</v>
      </c>
    </row>
    <row r="147" spans="1:6" x14ac:dyDescent="0.25">
      <c r="A147" s="149" t="s">
        <v>209</v>
      </c>
    </row>
    <row r="148" spans="1:6" x14ac:dyDescent="0.25">
      <c r="A148" s="149" t="s">
        <v>210</v>
      </c>
    </row>
    <row r="149" spans="1:6" x14ac:dyDescent="0.25">
      <c r="A149" s="149"/>
    </row>
    <row r="150" spans="1:6" x14ac:dyDescent="0.25">
      <c r="A150" s="149" t="s">
        <v>211</v>
      </c>
    </row>
    <row r="151" spans="1:6" x14ac:dyDescent="0.25">
      <c r="A151" s="149"/>
    </row>
    <row r="152" spans="1:6" x14ac:dyDescent="0.25">
      <c r="A152" s="149" t="s">
        <v>212</v>
      </c>
    </row>
    <row r="153" spans="1:6" x14ac:dyDescent="0.25">
      <c r="A153" s="149" t="s">
        <v>213</v>
      </c>
    </row>
    <row r="154" spans="1:6" x14ac:dyDescent="0.25">
      <c r="A154" s="149"/>
    </row>
    <row r="155" spans="1:6" x14ac:dyDescent="0.25">
      <c r="A155" s="149" t="s">
        <v>207</v>
      </c>
    </row>
    <row r="156" spans="1:6" x14ac:dyDescent="0.25">
      <c r="A156" s="149" t="s">
        <v>223</v>
      </c>
    </row>
    <row r="157" spans="1:6" x14ac:dyDescent="0.25">
      <c r="B157" s="150" t="s">
        <v>214</v>
      </c>
      <c r="C157" s="151"/>
      <c r="D157" s="151"/>
      <c r="E157" s="151"/>
      <c r="F157" s="151"/>
    </row>
    <row r="158" spans="1:6" x14ac:dyDescent="0.25">
      <c r="B158" s="150"/>
      <c r="C158" s="151"/>
      <c r="D158" s="151"/>
      <c r="E158" s="151"/>
      <c r="F158" s="151"/>
    </row>
    <row r="159" spans="1:6" x14ac:dyDescent="0.25">
      <c r="B159" s="150" t="s">
        <v>215</v>
      </c>
      <c r="C159" s="151" t="s">
        <v>216</v>
      </c>
      <c r="D159" s="151" t="s">
        <v>217</v>
      </c>
      <c r="E159" s="151" t="s">
        <v>218</v>
      </c>
      <c r="F159" s="151" t="s">
        <v>219</v>
      </c>
    </row>
    <row r="160" spans="1:6" x14ac:dyDescent="0.25">
      <c r="B160" s="150" t="s">
        <v>220</v>
      </c>
      <c r="C160" s="152">
        <v>1.6500000000000001E-2</v>
      </c>
      <c r="D160" s="152">
        <v>7.5999999999999998E-2</v>
      </c>
      <c r="E160" s="153">
        <v>0.05</v>
      </c>
      <c r="F160" s="151">
        <v>0.85750000000000004</v>
      </c>
    </row>
    <row r="161" spans="1:6" x14ac:dyDescent="0.25">
      <c r="B161" s="150" t="s">
        <v>221</v>
      </c>
      <c r="C161" s="152">
        <v>6.4999999999999997E-3</v>
      </c>
      <c r="D161" s="153">
        <v>0.03</v>
      </c>
      <c r="E161" s="153">
        <v>0.05</v>
      </c>
      <c r="F161" s="151">
        <v>0.91349999999999998</v>
      </c>
    </row>
    <row r="162" spans="1:6" x14ac:dyDescent="0.25">
      <c r="B162" s="150" t="s">
        <v>222</v>
      </c>
      <c r="C162" s="152">
        <v>4.4000000000000003E-3</v>
      </c>
      <c r="D162" s="152">
        <v>2.35E-2</v>
      </c>
      <c r="E162" s="153">
        <v>0.05</v>
      </c>
      <c r="F162" s="151">
        <v>0.92210000000000003</v>
      </c>
    </row>
    <row r="164" spans="1:6" x14ac:dyDescent="0.25">
      <c r="A164" s="155" t="s">
        <v>225</v>
      </c>
    </row>
  </sheetData>
  <dataConsolidate/>
  <mergeCells count="51">
    <mergeCell ref="B117:H117"/>
    <mergeCell ref="B126:H126"/>
    <mergeCell ref="B132:H132"/>
    <mergeCell ref="C83:C88"/>
    <mergeCell ref="E83:E88"/>
    <mergeCell ref="B92:H92"/>
    <mergeCell ref="A96:H96"/>
    <mergeCell ref="B100:H100"/>
    <mergeCell ref="B107:H107"/>
    <mergeCell ref="B81:H81"/>
    <mergeCell ref="A59:A61"/>
    <mergeCell ref="D59:D60"/>
    <mergeCell ref="E59:E60"/>
    <mergeCell ref="F59:F60"/>
    <mergeCell ref="G59:G60"/>
    <mergeCell ref="B61:E61"/>
    <mergeCell ref="B62:E62"/>
    <mergeCell ref="B66:E66"/>
    <mergeCell ref="A67:H67"/>
    <mergeCell ref="B72:H72"/>
    <mergeCell ref="B80:H80"/>
    <mergeCell ref="B54:H54"/>
    <mergeCell ref="A56:A58"/>
    <mergeCell ref="D56:D57"/>
    <mergeCell ref="E56:E57"/>
    <mergeCell ref="F56:F57"/>
    <mergeCell ref="G56:G57"/>
    <mergeCell ref="D46:E47"/>
    <mergeCell ref="E18:H18"/>
    <mergeCell ref="B19:H19"/>
    <mergeCell ref="A20:H20"/>
    <mergeCell ref="D21:H21"/>
    <mergeCell ref="D22:H22"/>
    <mergeCell ref="D24:H24"/>
    <mergeCell ref="D25:H25"/>
    <mergeCell ref="B26:H26"/>
    <mergeCell ref="B38:H38"/>
    <mergeCell ref="B39:H39"/>
    <mergeCell ref="B44:H44"/>
    <mergeCell ref="E17:H17"/>
    <mergeCell ref="A3:H3"/>
    <mergeCell ref="E4:H6"/>
    <mergeCell ref="A7:D7"/>
    <mergeCell ref="A8:H8"/>
    <mergeCell ref="D9:H9"/>
    <mergeCell ref="D10:H10"/>
    <mergeCell ref="D11:H11"/>
    <mergeCell ref="D12:H12"/>
    <mergeCell ref="A14:H14"/>
    <mergeCell ref="E15:H15"/>
    <mergeCell ref="E16:H16"/>
  </mergeCells>
  <dataValidations count="4">
    <dataValidation type="list" operator="equal" allowBlank="1" showErrorMessage="1" sqref="D28">
      <formula1>$J$33:$J$34</formula1>
      <formula2>0</formula2>
    </dataValidation>
    <dataValidation type="list" operator="equal" allowBlank="1" showErrorMessage="1" sqref="E28">
      <formula1>$K$33:$K$34</formula1>
      <formula2>0</formula2>
    </dataValidation>
    <dataValidation type="list" operator="equal" allowBlank="1" showErrorMessage="1" sqref="D30">
      <formula1>$J$28:$J$31</formula1>
      <formula2>0</formula2>
    </dataValidation>
    <dataValidation type="list" operator="equal" allowBlank="1" showErrorMessage="1" promptTitle="Percentual" sqref="E30">
      <formula1>$K$28:$K$31</formula1>
      <formula2>0</formula2>
    </dataValidation>
  </dataValidations>
  <pageMargins left="0.7" right="0.7" top="0.75" bottom="0.75" header="0.3" footer="0.3"/>
  <pageSetup scale="45" orientation="portrait"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64"/>
  <sheetViews>
    <sheetView topLeftCell="A118" zoomScale="70" zoomScaleNormal="70" workbookViewId="0">
      <selection activeCell="H83" sqref="H83"/>
    </sheetView>
  </sheetViews>
  <sheetFormatPr defaultRowHeight="15" x14ac:dyDescent="0.25"/>
  <cols>
    <col min="1" max="1" width="4.85546875" customWidth="1"/>
    <col min="2" max="2" width="54.85546875" customWidth="1"/>
    <col min="3" max="3" width="11.5703125" customWidth="1"/>
    <col min="4" max="4" width="34" customWidth="1"/>
    <col min="5" max="5" width="18" customWidth="1"/>
    <col min="6" max="6" width="25.28515625" bestFit="1" customWidth="1"/>
    <col min="7" max="7" width="11.5703125" bestFit="1" customWidth="1"/>
    <col min="8" max="8" width="27.5703125" bestFit="1" customWidth="1"/>
    <col min="9" max="9" width="20.7109375" customWidth="1"/>
    <col min="10" max="10" width="12.5703125" bestFit="1" customWidth="1"/>
  </cols>
  <sheetData>
    <row r="1" spans="1:8" x14ac:dyDescent="0.25">
      <c r="A1" s="1"/>
      <c r="B1" s="1"/>
      <c r="C1" s="1"/>
      <c r="D1" s="1"/>
      <c r="E1" s="1"/>
      <c r="F1" s="1"/>
      <c r="G1" s="1"/>
      <c r="H1" s="2"/>
    </row>
    <row r="2" spans="1:8" ht="15.75" x14ac:dyDescent="0.25">
      <c r="A2" s="3"/>
      <c r="B2" s="3" t="s">
        <v>0</v>
      </c>
      <c r="C2" s="3"/>
      <c r="D2" s="4" t="s">
        <v>1</v>
      </c>
      <c r="E2" s="3"/>
      <c r="F2" s="3" t="s">
        <v>2</v>
      </c>
      <c r="G2" s="3"/>
      <c r="H2" s="5" t="s">
        <v>156</v>
      </c>
    </row>
    <row r="3" spans="1:8" ht="15.75" x14ac:dyDescent="0.25">
      <c r="A3" s="269" t="s">
        <v>3</v>
      </c>
      <c r="B3" s="269"/>
      <c r="C3" s="269"/>
      <c r="D3" s="269"/>
      <c r="E3" s="269"/>
      <c r="F3" s="269"/>
      <c r="G3" s="269"/>
      <c r="H3" s="269"/>
    </row>
    <row r="4" spans="1:8" ht="15.75" x14ac:dyDescent="0.25">
      <c r="A4" s="6" t="s">
        <v>4</v>
      </c>
      <c r="B4" s="7" t="s">
        <v>5</v>
      </c>
      <c r="C4" s="7"/>
      <c r="D4" s="8"/>
      <c r="E4" s="287" t="s">
        <v>6</v>
      </c>
      <c r="F4" s="287"/>
      <c r="G4" s="287"/>
      <c r="H4" s="287"/>
    </row>
    <row r="5" spans="1:8" ht="15.75" x14ac:dyDescent="0.25">
      <c r="A5" s="6" t="s">
        <v>7</v>
      </c>
      <c r="B5" s="7" t="s">
        <v>8</v>
      </c>
      <c r="C5" s="7"/>
      <c r="D5" s="9"/>
      <c r="E5" s="287"/>
      <c r="F5" s="287"/>
      <c r="G5" s="287"/>
      <c r="H5" s="287"/>
    </row>
    <row r="6" spans="1:8" ht="15.75" x14ac:dyDescent="0.25">
      <c r="A6" s="6" t="s">
        <v>9</v>
      </c>
      <c r="B6" s="7" t="s">
        <v>10</v>
      </c>
      <c r="C6" s="7"/>
      <c r="D6" s="10" t="s">
        <v>11</v>
      </c>
      <c r="E6" s="287"/>
      <c r="F6" s="287"/>
      <c r="G6" s="287"/>
      <c r="H6" s="287"/>
    </row>
    <row r="7" spans="1:8" ht="15.75" x14ac:dyDescent="0.25">
      <c r="A7" s="288"/>
      <c r="B7" s="288"/>
      <c r="C7" s="288"/>
      <c r="D7" s="288"/>
      <c r="E7" s="11"/>
      <c r="F7" s="11"/>
      <c r="G7" s="11"/>
      <c r="H7" s="11"/>
    </row>
    <row r="8" spans="1:8" ht="15.75" x14ac:dyDescent="0.25">
      <c r="A8" s="269" t="s">
        <v>12</v>
      </c>
      <c r="B8" s="269"/>
      <c r="C8" s="269"/>
      <c r="D8" s="269"/>
      <c r="E8" s="269"/>
      <c r="F8" s="269"/>
      <c r="G8" s="269"/>
      <c r="H8" s="269"/>
    </row>
    <row r="9" spans="1:8" x14ac:dyDescent="0.25">
      <c r="A9" s="12" t="s">
        <v>4</v>
      </c>
      <c r="B9" s="13" t="s">
        <v>13</v>
      </c>
      <c r="C9" s="13"/>
      <c r="D9" s="281" t="s">
        <v>14</v>
      </c>
      <c r="E9" s="281"/>
      <c r="F9" s="281"/>
      <c r="G9" s="281"/>
      <c r="H9" s="281"/>
    </row>
    <row r="10" spans="1:8" x14ac:dyDescent="0.25">
      <c r="A10" s="12" t="s">
        <v>7</v>
      </c>
      <c r="B10" s="13" t="s">
        <v>15</v>
      </c>
      <c r="C10" s="13"/>
      <c r="D10" s="289" t="s">
        <v>186</v>
      </c>
      <c r="E10" s="289"/>
      <c r="F10" s="289"/>
      <c r="G10" s="289"/>
      <c r="H10" s="289"/>
    </row>
    <row r="11" spans="1:8" x14ac:dyDescent="0.25">
      <c r="A11" s="12" t="s">
        <v>9</v>
      </c>
      <c r="B11" s="13" t="s">
        <v>16</v>
      </c>
      <c r="C11" s="13"/>
      <c r="D11" s="289" t="s">
        <v>174</v>
      </c>
      <c r="E11" s="289"/>
      <c r="F11" s="289"/>
      <c r="G11" s="289"/>
      <c r="H11" s="289"/>
    </row>
    <row r="12" spans="1:8" x14ac:dyDescent="0.25">
      <c r="A12" s="12" t="s">
        <v>17</v>
      </c>
      <c r="B12" s="13" t="s">
        <v>18</v>
      </c>
      <c r="C12" s="13"/>
      <c r="D12" s="289">
        <v>12</v>
      </c>
      <c r="E12" s="289"/>
      <c r="F12" s="289"/>
      <c r="G12" s="289"/>
      <c r="H12" s="289"/>
    </row>
    <row r="13" spans="1:8" x14ac:dyDescent="0.25">
      <c r="A13" s="12"/>
      <c r="B13" s="13"/>
      <c r="C13" s="13"/>
      <c r="D13" s="14"/>
      <c r="E13" s="14"/>
      <c r="F13" s="14"/>
      <c r="G13" s="14"/>
      <c r="H13" s="15"/>
    </row>
    <row r="14" spans="1:8" ht="15.75" x14ac:dyDescent="0.25">
      <c r="A14" s="269" t="s">
        <v>19</v>
      </c>
      <c r="B14" s="269"/>
      <c r="C14" s="269"/>
      <c r="D14" s="269"/>
      <c r="E14" s="269"/>
      <c r="F14" s="269"/>
      <c r="G14" s="269"/>
      <c r="H14" s="269"/>
    </row>
    <row r="15" spans="1:8" ht="15.75" x14ac:dyDescent="0.25">
      <c r="A15" s="12"/>
      <c r="B15" s="16" t="s">
        <v>20</v>
      </c>
      <c r="C15" s="16"/>
      <c r="D15" s="17" t="s">
        <v>21</v>
      </c>
      <c r="E15" s="290" t="s">
        <v>22</v>
      </c>
      <c r="F15" s="290"/>
      <c r="G15" s="290"/>
      <c r="H15" s="290"/>
    </row>
    <row r="16" spans="1:8" x14ac:dyDescent="0.25">
      <c r="A16" s="12" t="s">
        <v>4</v>
      </c>
      <c r="B16" s="18" t="s">
        <v>180</v>
      </c>
      <c r="C16" s="19"/>
      <c r="D16" s="20" t="s">
        <v>23</v>
      </c>
      <c r="E16" s="291">
        <v>1</v>
      </c>
      <c r="F16" s="291"/>
      <c r="G16" s="291"/>
      <c r="H16" s="291"/>
    </row>
    <row r="17" spans="1:9" x14ac:dyDescent="0.25">
      <c r="A17" s="12" t="s">
        <v>7</v>
      </c>
      <c r="B17" s="13"/>
      <c r="C17" s="13"/>
      <c r="D17" s="21"/>
      <c r="E17" s="279"/>
      <c r="F17" s="279"/>
      <c r="G17" s="279"/>
      <c r="H17" s="279"/>
    </row>
    <row r="18" spans="1:9" x14ac:dyDescent="0.25">
      <c r="A18" s="12" t="s">
        <v>9</v>
      </c>
      <c r="B18" s="13"/>
      <c r="C18" s="13"/>
      <c r="D18" s="21"/>
      <c r="E18" s="279"/>
      <c r="F18" s="279"/>
      <c r="G18" s="279"/>
      <c r="H18" s="279"/>
    </row>
    <row r="19" spans="1:9" ht="15.75" x14ac:dyDescent="0.25">
      <c r="A19" s="110"/>
      <c r="B19" s="269" t="s">
        <v>24</v>
      </c>
      <c r="C19" s="269"/>
      <c r="D19" s="269"/>
      <c r="E19" s="269"/>
      <c r="F19" s="269"/>
      <c r="G19" s="269"/>
      <c r="H19" s="269"/>
    </row>
    <row r="20" spans="1:9" ht="15.75" x14ac:dyDescent="0.25">
      <c r="A20" s="280" t="s">
        <v>25</v>
      </c>
      <c r="B20" s="280"/>
      <c r="C20" s="280"/>
      <c r="D20" s="280"/>
      <c r="E20" s="280"/>
      <c r="F20" s="280"/>
      <c r="G20" s="280"/>
      <c r="H20" s="280"/>
    </row>
    <row r="21" spans="1:9" x14ac:dyDescent="0.25">
      <c r="A21" s="12">
        <v>1</v>
      </c>
      <c r="B21" s="13" t="s">
        <v>20</v>
      </c>
      <c r="C21" s="13"/>
      <c r="D21" s="281" t="s">
        <v>181</v>
      </c>
      <c r="E21" s="281"/>
      <c r="F21" s="281"/>
      <c r="G21" s="281"/>
      <c r="H21" s="281"/>
    </row>
    <row r="22" spans="1:9" x14ac:dyDescent="0.25">
      <c r="A22" s="12">
        <v>2</v>
      </c>
      <c r="B22" s="13" t="s">
        <v>26</v>
      </c>
      <c r="C22" s="13"/>
      <c r="D22" s="282" t="s">
        <v>176</v>
      </c>
      <c r="E22" s="282"/>
      <c r="F22" s="282"/>
      <c r="G22" s="282"/>
      <c r="H22" s="282"/>
    </row>
    <row r="23" spans="1:9" x14ac:dyDescent="0.25">
      <c r="A23" s="12">
        <v>3</v>
      </c>
      <c r="B23" s="13" t="s">
        <v>27</v>
      </c>
      <c r="C23" s="13"/>
      <c r="D23" s="22">
        <v>1134.1099999999999</v>
      </c>
      <c r="E23" s="23"/>
      <c r="F23" s="23"/>
      <c r="G23" s="23"/>
      <c r="H23" s="23"/>
    </row>
    <row r="24" spans="1:9" ht="30" x14ac:dyDescent="0.25">
      <c r="A24" s="1">
        <v>4</v>
      </c>
      <c r="B24" s="24" t="s">
        <v>28</v>
      </c>
      <c r="C24" s="24"/>
      <c r="D24" s="283" t="s">
        <v>170</v>
      </c>
      <c r="E24" s="283"/>
      <c r="F24" s="283"/>
      <c r="G24" s="283"/>
      <c r="H24" s="283"/>
    </row>
    <row r="25" spans="1:9" x14ac:dyDescent="0.25">
      <c r="A25" s="1">
        <v>5</v>
      </c>
      <c r="B25" s="25" t="s">
        <v>29</v>
      </c>
      <c r="C25" s="25"/>
      <c r="D25" s="284" t="s">
        <v>171</v>
      </c>
      <c r="E25" s="284"/>
      <c r="F25" s="284"/>
      <c r="G25" s="284"/>
      <c r="H25" s="284"/>
    </row>
    <row r="26" spans="1:9" ht="15.75" x14ac:dyDescent="0.25">
      <c r="A26" s="26">
        <v>1</v>
      </c>
      <c r="B26" s="267" t="s">
        <v>30</v>
      </c>
      <c r="C26" s="267"/>
      <c r="D26" s="267"/>
      <c r="E26" s="267"/>
      <c r="F26" s="267"/>
      <c r="G26" s="267"/>
      <c r="H26" s="267"/>
    </row>
    <row r="27" spans="1:9" ht="15.75" x14ac:dyDescent="0.25">
      <c r="A27" s="1" t="s">
        <v>4</v>
      </c>
      <c r="B27" s="27" t="s">
        <v>31</v>
      </c>
      <c r="C27" s="27"/>
      <c r="D27" s="27"/>
      <c r="G27" s="28"/>
      <c r="H27" s="29">
        <v>1134.1099999999999</v>
      </c>
    </row>
    <row r="28" spans="1:9" ht="15.75" x14ac:dyDescent="0.25">
      <c r="A28" s="1" t="s">
        <v>7</v>
      </c>
      <c r="B28" s="6" t="s">
        <v>32</v>
      </c>
      <c r="C28" s="6"/>
      <c r="D28" s="30"/>
      <c r="E28" s="31">
        <v>0</v>
      </c>
      <c r="H28" s="32"/>
    </row>
    <row r="29" spans="1:9" ht="15.75" x14ac:dyDescent="0.25">
      <c r="A29" s="1" t="s">
        <v>9</v>
      </c>
      <c r="B29" s="6" t="s">
        <v>34</v>
      </c>
      <c r="C29" s="6"/>
      <c r="D29" s="33" t="s">
        <v>35</v>
      </c>
      <c r="E29" s="34" t="s">
        <v>36</v>
      </c>
      <c r="F29" s="33" t="s">
        <v>37</v>
      </c>
      <c r="G29" s="35"/>
      <c r="H29" s="32"/>
    </row>
    <row r="30" spans="1:9" ht="15.75" x14ac:dyDescent="0.25">
      <c r="A30" s="1" t="s">
        <v>17</v>
      </c>
      <c r="B30" s="6" t="s">
        <v>167</v>
      </c>
      <c r="C30" s="6"/>
      <c r="D30" s="33"/>
      <c r="E30" s="34"/>
      <c r="F30" s="33"/>
      <c r="G30" s="35"/>
      <c r="H30" s="32"/>
      <c r="I30">
        <v>40</v>
      </c>
    </row>
    <row r="31" spans="1:9" ht="15.75" x14ac:dyDescent="0.25">
      <c r="A31" s="1" t="s">
        <v>40</v>
      </c>
      <c r="B31" s="6" t="s">
        <v>38</v>
      </c>
      <c r="C31" s="6"/>
      <c r="D31" s="30" t="s">
        <v>39</v>
      </c>
      <c r="E31" s="36">
        <v>0</v>
      </c>
      <c r="F31" s="37">
        <v>954</v>
      </c>
      <c r="G31" s="27"/>
      <c r="H31" s="38"/>
      <c r="I31">
        <v>120</v>
      </c>
    </row>
    <row r="32" spans="1:9" ht="15.75" x14ac:dyDescent="0.25">
      <c r="A32" s="1" t="s">
        <v>42</v>
      </c>
      <c r="B32" s="6" t="s">
        <v>41</v>
      </c>
      <c r="C32" s="6"/>
      <c r="G32" s="35"/>
      <c r="H32" s="38"/>
    </row>
    <row r="33" spans="1:9" ht="15.75" x14ac:dyDescent="0.25">
      <c r="A33" s="1" t="s">
        <v>61</v>
      </c>
      <c r="B33" s="6" t="s">
        <v>159</v>
      </c>
      <c r="C33" s="6"/>
      <c r="G33" s="35"/>
      <c r="H33" s="38"/>
    </row>
    <row r="34" spans="1:9" ht="15.75" x14ac:dyDescent="0.25">
      <c r="A34" s="1" t="s">
        <v>43</v>
      </c>
      <c r="B34" s="6" t="s">
        <v>155</v>
      </c>
      <c r="C34" s="6"/>
      <c r="G34" s="35"/>
      <c r="H34" s="38"/>
    </row>
    <row r="35" spans="1:9" ht="15.75" x14ac:dyDescent="0.25">
      <c r="A35" s="1" t="s">
        <v>161</v>
      </c>
      <c r="B35" s="8" t="s">
        <v>160</v>
      </c>
      <c r="C35" s="8"/>
      <c r="G35" s="35"/>
      <c r="H35" s="38"/>
    </row>
    <row r="36" spans="1:9" ht="15.75" x14ac:dyDescent="0.25">
      <c r="A36" s="1" t="s">
        <v>165</v>
      </c>
      <c r="B36" s="8" t="s">
        <v>162</v>
      </c>
      <c r="C36" s="8"/>
      <c r="G36" s="35"/>
      <c r="H36" s="38"/>
    </row>
    <row r="37" spans="1:9" ht="15.75" x14ac:dyDescent="0.25">
      <c r="A37" s="1" t="s">
        <v>166</v>
      </c>
      <c r="B37" s="6" t="s">
        <v>44</v>
      </c>
      <c r="C37" s="6"/>
      <c r="D37" s="27"/>
      <c r="E37" s="27"/>
      <c r="F37" s="35"/>
      <c r="G37" s="35"/>
      <c r="H37" s="35">
        <v>0</v>
      </c>
    </row>
    <row r="38" spans="1:9" ht="15.75" x14ac:dyDescent="0.25">
      <c r="A38" s="39"/>
      <c r="B38" s="40" t="s">
        <v>45</v>
      </c>
      <c r="C38" s="40"/>
      <c r="D38" s="41"/>
      <c r="E38" s="41"/>
      <c r="F38" s="42"/>
      <c r="G38" s="42"/>
      <c r="H38" s="43">
        <f>SUM(H27:H37)</f>
        <v>1134.1099999999999</v>
      </c>
    </row>
    <row r="39" spans="1:9" ht="15.75" x14ac:dyDescent="0.25">
      <c r="A39" s="44">
        <v>2</v>
      </c>
      <c r="B39" s="285" t="s">
        <v>46</v>
      </c>
      <c r="C39" s="285"/>
      <c r="D39" s="285"/>
      <c r="E39" s="285"/>
      <c r="F39" s="285"/>
      <c r="G39" s="285"/>
      <c r="H39" s="285"/>
    </row>
    <row r="40" spans="1:9" ht="15.75" x14ac:dyDescent="0.25">
      <c r="A40" s="124" t="s">
        <v>47</v>
      </c>
      <c r="B40" s="286" t="s">
        <v>48</v>
      </c>
      <c r="C40" s="286"/>
      <c r="D40" s="286"/>
      <c r="E40" s="286"/>
      <c r="F40" s="286"/>
      <c r="G40" s="286"/>
      <c r="H40" s="286"/>
    </row>
    <row r="41" spans="1:9" ht="15.75" x14ac:dyDescent="0.25">
      <c r="A41" s="1" t="s">
        <v>4</v>
      </c>
      <c r="B41" s="8" t="s">
        <v>49</v>
      </c>
      <c r="C41" s="8"/>
      <c r="D41" s="8"/>
      <c r="E41" s="27"/>
      <c r="F41" s="28"/>
      <c r="G41" s="45">
        <v>8.3299999999999999E-2</v>
      </c>
      <c r="H41" s="28">
        <f>SUM($H$38*G41)</f>
        <v>94.471362999999997</v>
      </c>
    </row>
    <row r="42" spans="1:9" ht="15.75" x14ac:dyDescent="0.25">
      <c r="A42" s="1" t="s">
        <v>7</v>
      </c>
      <c r="B42" s="27" t="s">
        <v>50</v>
      </c>
      <c r="C42" s="27"/>
      <c r="D42" s="27"/>
      <c r="E42" s="27"/>
      <c r="F42" s="46"/>
      <c r="G42" s="47">
        <v>0.121</v>
      </c>
      <c r="H42" s="28">
        <f>SUM($H$38*G42)</f>
        <v>137.22730999999999</v>
      </c>
    </row>
    <row r="43" spans="1:9" ht="15.75" x14ac:dyDescent="0.25">
      <c r="A43" s="1" t="s">
        <v>9</v>
      </c>
      <c r="B43" s="48" t="s">
        <v>51</v>
      </c>
      <c r="C43" s="48"/>
      <c r="D43" s="27"/>
      <c r="E43" s="27"/>
      <c r="F43" s="46"/>
      <c r="G43" s="47">
        <f>G42+G41*G54</f>
        <v>0.15165439999999999</v>
      </c>
      <c r="H43" s="28">
        <f>SUM(H41:H42)*G54</f>
        <v>85.265111664000017</v>
      </c>
    </row>
    <row r="44" spans="1:9" ht="15.75" x14ac:dyDescent="0.25">
      <c r="A44" s="49"/>
      <c r="B44" s="50" t="s">
        <v>45</v>
      </c>
      <c r="C44" s="40"/>
      <c r="D44" s="41"/>
      <c r="E44" s="41"/>
      <c r="F44" s="42"/>
      <c r="G44" s="42"/>
      <c r="H44" s="43">
        <f>SUM(H41:H43)</f>
        <v>316.963784664</v>
      </c>
    </row>
    <row r="45" spans="1:9" ht="15.75" x14ac:dyDescent="0.25">
      <c r="A45" s="110" t="s">
        <v>52</v>
      </c>
      <c r="B45" s="269" t="s">
        <v>53</v>
      </c>
      <c r="C45" s="269"/>
      <c r="D45" s="269"/>
      <c r="E45" s="269"/>
      <c r="F45" s="269"/>
      <c r="G45" s="269"/>
      <c r="H45" s="269"/>
    </row>
    <row r="46" spans="1:9" ht="15.75" x14ac:dyDescent="0.25">
      <c r="A46" s="1" t="s">
        <v>4</v>
      </c>
      <c r="B46" s="51" t="s">
        <v>54</v>
      </c>
      <c r="C46" s="51"/>
      <c r="D46" s="27"/>
      <c r="E46" s="27"/>
      <c r="F46" s="28"/>
      <c r="G46" s="45">
        <v>0.2</v>
      </c>
      <c r="H46" s="28">
        <f>SUM($H$38*G46)</f>
        <v>226.822</v>
      </c>
    </row>
    <row r="47" spans="1:9" ht="15.75" x14ac:dyDescent="0.25">
      <c r="A47" s="1" t="s">
        <v>7</v>
      </c>
      <c r="B47" s="51" t="s">
        <v>55</v>
      </c>
      <c r="C47" s="51"/>
      <c r="D47" s="278" t="s">
        <v>56</v>
      </c>
      <c r="E47" s="278"/>
      <c r="F47" s="28"/>
      <c r="G47" s="52">
        <v>1.4999999999999999E-2</v>
      </c>
      <c r="H47" s="28">
        <f>SUM($H$38*G47)</f>
        <v>17.011649999999999</v>
      </c>
      <c r="I47" s="115"/>
    </row>
    <row r="48" spans="1:9" ht="15.75" x14ac:dyDescent="0.25">
      <c r="A48" s="1" t="s">
        <v>9</v>
      </c>
      <c r="B48" s="51" t="s">
        <v>57</v>
      </c>
      <c r="C48" s="51"/>
      <c r="D48" s="278"/>
      <c r="E48" s="278"/>
      <c r="F48" s="28"/>
      <c r="G48" s="52">
        <v>0.01</v>
      </c>
      <c r="H48" s="28">
        <f t="shared" ref="H48" si="0">SUM($H$38*G48)</f>
        <v>11.341099999999999</v>
      </c>
    </row>
    <row r="49" spans="1:13" ht="15.75" x14ac:dyDescent="0.25">
      <c r="A49" s="1" t="s">
        <v>17</v>
      </c>
      <c r="B49" s="51" t="s">
        <v>58</v>
      </c>
      <c r="C49" s="51"/>
      <c r="D49" s="27"/>
      <c r="E49" s="27"/>
      <c r="F49" s="28"/>
      <c r="G49" s="52">
        <v>2E-3</v>
      </c>
      <c r="H49" s="28">
        <f>SUM($H$38*G49)</f>
        <v>2.2682199999999999</v>
      </c>
    </row>
    <row r="50" spans="1:13" ht="15.75" x14ac:dyDescent="0.25">
      <c r="A50" s="1" t="s">
        <v>40</v>
      </c>
      <c r="B50" s="51" t="s">
        <v>59</v>
      </c>
      <c r="C50" s="51"/>
      <c r="D50" s="27"/>
      <c r="E50" s="27"/>
      <c r="F50" s="28"/>
      <c r="G50" s="52">
        <v>2.5000000000000001E-2</v>
      </c>
      <c r="H50" s="28">
        <f>SUM($H$38*G50)</f>
        <v>28.35275</v>
      </c>
    </row>
    <row r="51" spans="1:13" ht="15.75" x14ac:dyDescent="0.25">
      <c r="A51" s="1" t="s">
        <v>42</v>
      </c>
      <c r="B51" s="51" t="s">
        <v>60</v>
      </c>
      <c r="C51" s="51"/>
      <c r="D51" s="27"/>
      <c r="E51" s="27"/>
      <c r="F51" s="28"/>
      <c r="G51" s="45">
        <v>0.08</v>
      </c>
      <c r="H51" s="28">
        <f>SUM($H$38*G51)</f>
        <v>90.728799999999993</v>
      </c>
    </row>
    <row r="52" spans="1:13" ht="15.75" x14ac:dyDescent="0.25">
      <c r="A52" s="127" t="s">
        <v>61</v>
      </c>
      <c r="B52" s="128" t="s">
        <v>62</v>
      </c>
      <c r="C52" s="128"/>
      <c r="D52" s="129"/>
      <c r="E52" s="129"/>
      <c r="F52" s="129"/>
      <c r="G52" s="130">
        <v>0.03</v>
      </c>
      <c r="H52" s="131">
        <f>SUM($H$38*G52)</f>
        <v>34.023299999999999</v>
      </c>
    </row>
    <row r="53" spans="1:13" ht="15.75" x14ac:dyDescent="0.25">
      <c r="A53" s="1" t="s">
        <v>43</v>
      </c>
      <c r="B53" s="51" t="s">
        <v>63</v>
      </c>
      <c r="C53" s="51"/>
      <c r="D53" s="27"/>
      <c r="E53" s="27"/>
      <c r="F53" s="28"/>
      <c r="G53" s="52">
        <v>6.0000000000000001E-3</v>
      </c>
      <c r="H53" s="28">
        <f>SUM($H$38*G53)</f>
        <v>6.8046599999999993</v>
      </c>
      <c r="I53" s="121"/>
    </row>
    <row r="54" spans="1:13" ht="15.75" x14ac:dyDescent="0.25">
      <c r="A54" s="54"/>
      <c r="B54" s="55" t="s">
        <v>45</v>
      </c>
      <c r="C54" s="55"/>
      <c r="D54" s="40"/>
      <c r="E54" s="40"/>
      <c r="F54" s="56"/>
      <c r="G54" s="57">
        <f>SUM(G46:G53)</f>
        <v>0.3680000000000001</v>
      </c>
      <c r="H54" s="58">
        <f>SUM(H46:H53)</f>
        <v>417.35248000000001</v>
      </c>
    </row>
    <row r="55" spans="1:13" ht="15.75" x14ac:dyDescent="0.25">
      <c r="A55" s="110" t="s">
        <v>64</v>
      </c>
      <c r="B55" s="269" t="s">
        <v>65</v>
      </c>
      <c r="C55" s="269"/>
      <c r="D55" s="269"/>
      <c r="E55" s="269"/>
      <c r="F55" s="269"/>
      <c r="G55" s="269"/>
      <c r="H55" s="269"/>
    </row>
    <row r="56" spans="1:13" ht="15.75" x14ac:dyDescent="0.25">
      <c r="A56" s="6" t="s">
        <v>66</v>
      </c>
      <c r="B56" s="59"/>
      <c r="C56" s="59"/>
      <c r="D56" s="60" t="s">
        <v>67</v>
      </c>
      <c r="E56" s="60" t="s">
        <v>68</v>
      </c>
      <c r="F56" s="60" t="s">
        <v>69</v>
      </c>
      <c r="G56" s="60" t="s">
        <v>70</v>
      </c>
      <c r="H56" s="6"/>
    </row>
    <row r="57" spans="1:13" ht="15.75" x14ac:dyDescent="0.25">
      <c r="A57" s="270" t="s">
        <v>4</v>
      </c>
      <c r="B57" s="6" t="s">
        <v>71</v>
      </c>
      <c r="C57" s="6"/>
      <c r="D57" s="271"/>
      <c r="E57" s="272"/>
      <c r="F57" s="273"/>
      <c r="G57" s="274"/>
      <c r="H57" s="35">
        <f>F57*E57*D57</f>
        <v>0</v>
      </c>
    </row>
    <row r="58" spans="1:13" ht="15.75" x14ac:dyDescent="0.25">
      <c r="A58" s="270"/>
      <c r="B58" s="6" t="s">
        <v>72</v>
      </c>
      <c r="C58" s="6"/>
      <c r="D58" s="271"/>
      <c r="E58" s="271"/>
      <c r="F58" s="271"/>
      <c r="G58" s="271"/>
      <c r="H58" s="35">
        <f>H27*G57</f>
        <v>0</v>
      </c>
    </row>
    <row r="59" spans="1:13" ht="15.75" x14ac:dyDescent="0.25">
      <c r="A59" s="270"/>
      <c r="B59" s="8" t="s">
        <v>73</v>
      </c>
      <c r="C59" s="8"/>
      <c r="D59" s="8"/>
      <c r="E59" s="27"/>
      <c r="F59" s="27"/>
      <c r="G59" s="61"/>
      <c r="H59" s="35">
        <f>H57-H58</f>
        <v>0</v>
      </c>
    </row>
    <row r="60" spans="1:13" ht="15.75" x14ac:dyDescent="0.25">
      <c r="A60" s="270" t="s">
        <v>7</v>
      </c>
      <c r="B60" s="6" t="s">
        <v>74</v>
      </c>
      <c r="C60" s="6"/>
      <c r="D60" s="271">
        <v>1</v>
      </c>
      <c r="E60" s="272">
        <v>1</v>
      </c>
      <c r="F60" s="273">
        <v>0</v>
      </c>
      <c r="G60" s="274">
        <v>0.2</v>
      </c>
      <c r="H60" s="35">
        <f>F60*E60*D60</f>
        <v>0</v>
      </c>
    </row>
    <row r="61" spans="1:13" ht="15.75" x14ac:dyDescent="0.25">
      <c r="A61" s="270"/>
      <c r="B61" s="6" t="s">
        <v>72</v>
      </c>
      <c r="C61" s="6"/>
      <c r="D61" s="271"/>
      <c r="E61" s="271"/>
      <c r="F61" s="271"/>
      <c r="G61" s="271"/>
      <c r="H61" s="35">
        <f>H60*G60</f>
        <v>0</v>
      </c>
    </row>
    <row r="62" spans="1:13" ht="15.75" x14ac:dyDescent="0.25">
      <c r="A62" s="270"/>
      <c r="B62" s="275" t="s">
        <v>75</v>
      </c>
      <c r="C62" s="275"/>
      <c r="D62" s="275"/>
      <c r="E62" s="275"/>
      <c r="F62" s="13"/>
      <c r="G62" s="13"/>
      <c r="H62" s="35">
        <f>H60-H61</f>
        <v>0</v>
      </c>
    </row>
    <row r="63" spans="1:13" ht="15.75" x14ac:dyDescent="0.25">
      <c r="A63" s="62" t="s">
        <v>9</v>
      </c>
      <c r="B63" s="275" t="s">
        <v>76</v>
      </c>
      <c r="C63" s="275"/>
      <c r="D63" s="275"/>
      <c r="E63" s="275"/>
      <c r="F63" s="13"/>
      <c r="G63" s="13"/>
      <c r="H63" s="35">
        <v>0</v>
      </c>
    </row>
    <row r="64" spans="1:13" ht="15.75" x14ac:dyDescent="0.25">
      <c r="A64" s="62" t="s">
        <v>17</v>
      </c>
      <c r="B64" s="117" t="s">
        <v>177</v>
      </c>
      <c r="C64" s="117"/>
      <c r="D64" s="117"/>
      <c r="E64" s="117" t="s">
        <v>163</v>
      </c>
      <c r="F64" s="13"/>
      <c r="G64" s="13"/>
      <c r="H64" s="35">
        <v>100</v>
      </c>
      <c r="J64" s="125"/>
      <c r="K64" s="13"/>
      <c r="L64" s="13"/>
      <c r="M64" s="35"/>
    </row>
    <row r="65" spans="1:13" ht="15.75" x14ac:dyDescent="0.25">
      <c r="A65" s="62" t="s">
        <v>40</v>
      </c>
      <c r="B65" s="116" t="s">
        <v>224</v>
      </c>
      <c r="C65" s="117"/>
      <c r="D65" s="117"/>
      <c r="E65" s="117"/>
      <c r="F65" s="13"/>
      <c r="G65" s="13"/>
      <c r="H65" s="35">
        <v>3.53</v>
      </c>
      <c r="J65" s="148"/>
      <c r="K65" s="13"/>
      <c r="L65" s="13"/>
      <c r="M65" s="35"/>
    </row>
    <row r="66" spans="1:13" ht="15.75" x14ac:dyDescent="0.25">
      <c r="A66" s="62" t="s">
        <v>42</v>
      </c>
      <c r="B66" s="116" t="s">
        <v>78</v>
      </c>
      <c r="C66" s="116"/>
      <c r="D66" s="116"/>
      <c r="E66" s="118">
        <v>0</v>
      </c>
      <c r="H66" s="35">
        <f>(1/12*(H27+H28+H30))*E66</f>
        <v>0</v>
      </c>
    </row>
    <row r="67" spans="1:13" ht="15.75" x14ac:dyDescent="0.25">
      <c r="A67" s="63"/>
      <c r="B67" s="276" t="s">
        <v>45</v>
      </c>
      <c r="C67" s="276"/>
      <c r="D67" s="276"/>
      <c r="E67" s="276"/>
      <c r="F67" s="64"/>
      <c r="G67" s="64"/>
      <c r="H67" s="65">
        <f>H59+H62+H63+H64+H66+H65</f>
        <v>103.53</v>
      </c>
    </row>
    <row r="68" spans="1:13" ht="15.75" x14ac:dyDescent="0.25">
      <c r="A68" s="269" t="s">
        <v>79</v>
      </c>
      <c r="B68" s="269"/>
      <c r="C68" s="269"/>
      <c r="D68" s="269"/>
      <c r="E68" s="269"/>
      <c r="F68" s="269"/>
      <c r="G68" s="269"/>
      <c r="H68" s="269"/>
    </row>
    <row r="69" spans="1:13" ht="15.75" x14ac:dyDescent="0.25">
      <c r="A69" s="62" t="s">
        <v>47</v>
      </c>
      <c r="B69" s="8" t="s">
        <v>80</v>
      </c>
      <c r="C69" s="8"/>
      <c r="D69" s="66"/>
      <c r="E69" s="66"/>
      <c r="F69" s="13"/>
      <c r="G69" s="13"/>
      <c r="H69" s="67">
        <f>H44</f>
        <v>316.963784664</v>
      </c>
    </row>
    <row r="70" spans="1:13" ht="15.75" x14ac:dyDescent="0.25">
      <c r="A70" s="62" t="s">
        <v>52</v>
      </c>
      <c r="B70" s="8" t="s">
        <v>81</v>
      </c>
      <c r="C70" s="8"/>
      <c r="D70" s="66"/>
      <c r="E70" s="66"/>
      <c r="F70" s="13"/>
      <c r="G70" s="13"/>
      <c r="H70" s="67">
        <f>H54</f>
        <v>417.35248000000001</v>
      </c>
    </row>
    <row r="71" spans="1:13" ht="15.75" x14ac:dyDescent="0.25">
      <c r="A71" s="62" t="s">
        <v>64</v>
      </c>
      <c r="B71" s="8" t="s">
        <v>82</v>
      </c>
      <c r="C71" s="8"/>
      <c r="D71" s="66"/>
      <c r="E71" s="66"/>
      <c r="F71" s="13"/>
      <c r="G71" s="13"/>
      <c r="H71" s="67">
        <f>H67</f>
        <v>103.53</v>
      </c>
    </row>
    <row r="72" spans="1:13" ht="15.75" x14ac:dyDescent="0.25">
      <c r="A72" s="63"/>
      <c r="B72" s="126" t="s">
        <v>45</v>
      </c>
      <c r="C72" s="126"/>
      <c r="D72" s="126"/>
      <c r="E72" s="126"/>
      <c r="F72" s="64"/>
      <c r="G72" s="64"/>
      <c r="H72" s="65">
        <f>SUM(H69:H71)</f>
        <v>837.84626466400005</v>
      </c>
    </row>
    <row r="73" spans="1:13" ht="15.75" x14ac:dyDescent="0.25">
      <c r="A73" s="68">
        <v>3</v>
      </c>
      <c r="B73" s="267" t="s">
        <v>83</v>
      </c>
      <c r="C73" s="267"/>
      <c r="D73" s="267"/>
      <c r="E73" s="267"/>
      <c r="F73" s="267"/>
      <c r="G73" s="267"/>
      <c r="H73" s="267"/>
    </row>
    <row r="74" spans="1:13" ht="15.75" x14ac:dyDescent="0.25">
      <c r="A74" s="1" t="s">
        <v>4</v>
      </c>
      <c r="B74" s="48" t="s">
        <v>84</v>
      </c>
      <c r="C74" s="48"/>
      <c r="D74" s="69"/>
      <c r="E74" s="69"/>
      <c r="F74" s="69"/>
      <c r="G74" s="45">
        <v>4.1999999999999997E-3</v>
      </c>
      <c r="H74" s="28">
        <f>SUM($H$38*G74)</f>
        <v>4.7632619999999992</v>
      </c>
      <c r="I74" s="115"/>
    </row>
    <row r="75" spans="1:13" ht="15.75" x14ac:dyDescent="0.25">
      <c r="A75" s="1" t="s">
        <v>7</v>
      </c>
      <c r="B75" s="48" t="s">
        <v>85</v>
      </c>
      <c r="C75" s="48"/>
      <c r="D75" s="27"/>
      <c r="E75" s="27"/>
      <c r="F75" s="28"/>
      <c r="G75" s="45">
        <f>G74*0.08</f>
        <v>3.3599999999999998E-4</v>
      </c>
      <c r="H75" s="28">
        <f>SUM($H$38*G75)</f>
        <v>0.38106095999999995</v>
      </c>
    </row>
    <row r="76" spans="1:13" ht="15.75" x14ac:dyDescent="0.25">
      <c r="A76" s="1" t="s">
        <v>9</v>
      </c>
      <c r="B76" s="48" t="s">
        <v>86</v>
      </c>
      <c r="C76" s="48"/>
      <c r="D76" s="70"/>
      <c r="E76" s="70"/>
      <c r="F76" s="70"/>
      <c r="G76" s="71">
        <v>2.0000000000000001E-4</v>
      </c>
      <c r="H76" s="72">
        <f>(ROUND(SUM($H$38*G76),2))</f>
        <v>0.23</v>
      </c>
    </row>
    <row r="77" spans="1:13" ht="15.75" x14ac:dyDescent="0.25">
      <c r="A77" s="1" t="s">
        <v>17</v>
      </c>
      <c r="B77" s="27" t="s">
        <v>87</v>
      </c>
      <c r="C77" s="27"/>
      <c r="D77" s="69"/>
      <c r="E77" s="69"/>
      <c r="F77" s="69"/>
      <c r="G77" s="45">
        <v>1.9400000000000001E-2</v>
      </c>
      <c r="H77" s="28">
        <f>SUM($H$38*G77)</f>
        <v>22.001733999999999</v>
      </c>
      <c r="I77" s="115"/>
    </row>
    <row r="78" spans="1:13" ht="15.75" x14ac:dyDescent="0.25">
      <c r="A78" s="1" t="s">
        <v>40</v>
      </c>
      <c r="B78" s="48" t="s">
        <v>226</v>
      </c>
      <c r="C78" s="48"/>
      <c r="D78" s="27"/>
      <c r="E78" s="27"/>
      <c r="F78" s="28"/>
      <c r="G78" s="45">
        <f>G77*G54</f>
        <v>7.1392000000000027E-3</v>
      </c>
      <c r="H78" s="28">
        <f>SUM($H$38*G78)</f>
        <v>8.0966381120000026</v>
      </c>
    </row>
    <row r="79" spans="1:13" ht="15.75" x14ac:dyDescent="0.25">
      <c r="A79" s="1" t="s">
        <v>42</v>
      </c>
      <c r="B79" s="27" t="s">
        <v>89</v>
      </c>
      <c r="C79" s="27"/>
      <c r="D79" s="70"/>
      <c r="E79" s="70"/>
      <c r="F79" s="70"/>
      <c r="G79" s="52">
        <v>1E-4</v>
      </c>
      <c r="H79" s="28">
        <f>SUM($H$38*G79)</f>
        <v>0.113411</v>
      </c>
    </row>
    <row r="80" spans="1:13" ht="15.75" x14ac:dyDescent="0.25">
      <c r="A80" s="73"/>
      <c r="B80" s="55" t="s">
        <v>45</v>
      </c>
      <c r="C80" s="55"/>
      <c r="D80" s="41"/>
      <c r="E80" s="41"/>
      <c r="F80" s="74"/>
      <c r="G80" s="57">
        <f>SUM(G74:G79)</f>
        <v>3.1375200000000006E-2</v>
      </c>
      <c r="H80" s="58">
        <f>SUM(H74:H79)</f>
        <v>35.586106072</v>
      </c>
    </row>
    <row r="81" spans="1:9" ht="15.75" x14ac:dyDescent="0.25">
      <c r="A81" s="44">
        <v>4</v>
      </c>
      <c r="B81" s="277" t="s">
        <v>90</v>
      </c>
      <c r="C81" s="277"/>
      <c r="D81" s="277"/>
      <c r="E81" s="277"/>
      <c r="F81" s="277"/>
      <c r="G81" s="277"/>
      <c r="H81" s="277"/>
    </row>
    <row r="82" spans="1:9" ht="15.75" x14ac:dyDescent="0.25">
      <c r="A82" s="75" t="s">
        <v>91</v>
      </c>
      <c r="B82" s="269" t="s">
        <v>237</v>
      </c>
      <c r="C82" s="269"/>
      <c r="D82" s="269"/>
      <c r="E82" s="269"/>
      <c r="F82" s="269"/>
      <c r="G82" s="269"/>
      <c r="H82" s="269"/>
    </row>
    <row r="83" spans="1:9" ht="15.75" x14ac:dyDescent="0.25">
      <c r="A83" s="12" t="s">
        <v>4</v>
      </c>
      <c r="B83" s="51" t="s">
        <v>227</v>
      </c>
      <c r="C83" s="51"/>
      <c r="D83" s="53"/>
      <c r="E83" s="53"/>
      <c r="F83" s="53"/>
      <c r="G83" s="45">
        <f>(G41+G42)/12</f>
        <v>1.7024999999999998E-2</v>
      </c>
      <c r="H83" s="28"/>
    </row>
    <row r="84" spans="1:9" ht="15.75" x14ac:dyDescent="0.25">
      <c r="A84" s="123" t="s">
        <v>7</v>
      </c>
      <c r="B84" s="51" t="s">
        <v>228</v>
      </c>
      <c r="C84" s="268" t="s">
        <v>95</v>
      </c>
      <c r="D84" s="76">
        <v>1</v>
      </c>
      <c r="E84" s="268" t="s">
        <v>96</v>
      </c>
      <c r="F84" s="77">
        <v>1</v>
      </c>
      <c r="G84" s="45">
        <f t="shared" ref="G84:G89" si="1">D84/360*F84</f>
        <v>2.7777777777777779E-3</v>
      </c>
      <c r="H84" s="28">
        <f>SUM(H$38*G84)</f>
        <v>3.1503055555555552</v>
      </c>
    </row>
    <row r="85" spans="1:9" ht="15.75" x14ac:dyDescent="0.25">
      <c r="A85" s="12" t="s">
        <v>9</v>
      </c>
      <c r="B85" s="51" t="s">
        <v>229</v>
      </c>
      <c r="C85" s="268"/>
      <c r="D85" s="76">
        <v>20</v>
      </c>
      <c r="E85" s="268"/>
      <c r="F85" s="77">
        <v>1.4999999999999999E-2</v>
      </c>
      <c r="G85" s="45">
        <f t="shared" si="1"/>
        <v>8.3333333333333328E-4</v>
      </c>
      <c r="H85" s="28">
        <f>SUM(H$38*G85)</f>
        <v>0.94509166666666655</v>
      </c>
    </row>
    <row r="86" spans="1:9" ht="15.75" x14ac:dyDescent="0.25">
      <c r="A86" s="12" t="s">
        <v>17</v>
      </c>
      <c r="B86" s="51" t="s">
        <v>230</v>
      </c>
      <c r="C86" s="268"/>
      <c r="D86" s="76">
        <v>15</v>
      </c>
      <c r="E86" s="268"/>
      <c r="F86" s="78">
        <v>1.3299999999999999E-2</v>
      </c>
      <c r="G86" s="45">
        <f t="shared" si="1"/>
        <v>5.5416666666666657E-4</v>
      </c>
      <c r="H86" s="28">
        <f>SUM(H$38*G86)</f>
        <v>0.62848595833333321</v>
      </c>
    </row>
    <row r="87" spans="1:9" ht="15.75" x14ac:dyDescent="0.25">
      <c r="A87" s="12" t="s">
        <v>40</v>
      </c>
      <c r="B87" s="51" t="s">
        <v>231</v>
      </c>
      <c r="C87" s="268"/>
      <c r="D87" s="76">
        <v>180</v>
      </c>
      <c r="E87" s="268"/>
      <c r="F87" s="77">
        <v>1.8599999999999998E-2</v>
      </c>
      <c r="G87" s="45">
        <f t="shared" si="1"/>
        <v>9.2999999999999992E-3</v>
      </c>
      <c r="H87" s="28">
        <f>SUM(H$38*G87)</f>
        <v>10.547222999999999</v>
      </c>
    </row>
    <row r="88" spans="1:9" ht="15.75" x14ac:dyDescent="0.25">
      <c r="A88" s="12" t="s">
        <v>42</v>
      </c>
      <c r="B88" s="51" t="s">
        <v>232</v>
      </c>
      <c r="C88" s="268"/>
      <c r="D88" s="79">
        <v>5</v>
      </c>
      <c r="E88" s="268"/>
      <c r="F88" s="80">
        <v>1</v>
      </c>
      <c r="G88" s="45">
        <f t="shared" si="1"/>
        <v>1.3888888888888888E-2</v>
      </c>
      <c r="H88" s="81">
        <f>SUM(H$38*G88)</f>
        <v>15.751527777777776</v>
      </c>
    </row>
    <row r="89" spans="1:9" ht="15.75" x14ac:dyDescent="0.25">
      <c r="A89" s="12" t="s">
        <v>61</v>
      </c>
      <c r="B89" s="51" t="s">
        <v>101</v>
      </c>
      <c r="C89" s="268"/>
      <c r="D89" s="79"/>
      <c r="E89" s="268"/>
      <c r="F89" s="82"/>
      <c r="G89" s="45">
        <f t="shared" si="1"/>
        <v>0</v>
      </c>
      <c r="H89" s="81"/>
    </row>
    <row r="90" spans="1:9" ht="15.75" x14ac:dyDescent="0.25">
      <c r="A90" s="19"/>
      <c r="B90" s="6" t="s">
        <v>102</v>
      </c>
      <c r="C90" s="6"/>
      <c r="D90" s="27"/>
      <c r="E90" s="27"/>
      <c r="F90" s="28"/>
      <c r="G90" s="45">
        <f>SUM(G83:G89)</f>
        <v>4.4379166666666664E-2</v>
      </c>
      <c r="H90" s="28">
        <f>SUM(H83:H89)</f>
        <v>31.02263395833333</v>
      </c>
      <c r="I90" s="115">
        <f>SUM(H84:H90)*G54</f>
        <v>22.832658593333338</v>
      </c>
    </row>
    <row r="91" spans="1:9" ht="15.75" x14ac:dyDescent="0.25">
      <c r="A91" s="12" t="s">
        <v>42</v>
      </c>
      <c r="B91" s="51" t="s">
        <v>103</v>
      </c>
      <c r="C91" s="51"/>
      <c r="D91" s="27"/>
      <c r="E91" s="27"/>
      <c r="F91" s="28"/>
      <c r="G91" s="45">
        <f>G90*G54</f>
        <v>1.6331533333333335E-2</v>
      </c>
      <c r="H91" s="28">
        <f>SUM(H90*G54)</f>
        <v>11.416329296666669</v>
      </c>
    </row>
    <row r="92" spans="1:9" ht="15.75" x14ac:dyDescent="0.25">
      <c r="A92" s="73"/>
      <c r="B92" s="55" t="s">
        <v>45</v>
      </c>
      <c r="C92" s="55"/>
      <c r="D92" s="41"/>
      <c r="E92" s="41"/>
      <c r="F92" s="74"/>
      <c r="G92" s="57">
        <f>G91+G90</f>
        <v>6.0710699999999999E-2</v>
      </c>
      <c r="H92" s="58">
        <f>SUM(H90:H91)</f>
        <v>42.438963254999997</v>
      </c>
    </row>
    <row r="93" spans="1:9" ht="15.75" x14ac:dyDescent="0.25">
      <c r="A93" s="75" t="s">
        <v>104</v>
      </c>
      <c r="B93" s="269" t="s">
        <v>233</v>
      </c>
      <c r="C93" s="269"/>
      <c r="D93" s="269"/>
      <c r="E93" s="269"/>
      <c r="F93" s="269"/>
      <c r="G93" s="269"/>
      <c r="H93" s="269"/>
    </row>
    <row r="94" spans="1:9" ht="15.75" x14ac:dyDescent="0.25">
      <c r="A94" s="12" t="s">
        <v>4</v>
      </c>
      <c r="B94" s="51" t="s">
        <v>235</v>
      </c>
      <c r="C94" s="51"/>
      <c r="D94" s="53"/>
      <c r="E94" s="53"/>
      <c r="F94" s="53"/>
      <c r="G94" s="52">
        <v>0</v>
      </c>
      <c r="H94" s="28">
        <f>SUM(H$38*G94)</f>
        <v>0</v>
      </c>
    </row>
    <row r="95" spans="1:9" ht="15.75" x14ac:dyDescent="0.25">
      <c r="A95" s="12" t="s">
        <v>7</v>
      </c>
      <c r="B95" s="51" t="s">
        <v>107</v>
      </c>
      <c r="C95" s="51"/>
      <c r="D95" s="53"/>
      <c r="E95" s="53"/>
      <c r="F95" s="53"/>
      <c r="G95" s="45">
        <f>G94*G54</f>
        <v>0</v>
      </c>
      <c r="H95" s="28">
        <f>SUM($H$38*G95)</f>
        <v>0</v>
      </c>
    </row>
    <row r="96" spans="1:9" ht="15.75" x14ac:dyDescent="0.25">
      <c r="A96" s="73"/>
      <c r="B96" s="55" t="s">
        <v>45</v>
      </c>
      <c r="C96" s="55"/>
      <c r="D96" s="41"/>
      <c r="E96" s="41"/>
      <c r="F96" s="74"/>
      <c r="G96" s="57">
        <f>G95+G94</f>
        <v>0</v>
      </c>
      <c r="H96" s="58">
        <f>SUM(H94:H95)</f>
        <v>0</v>
      </c>
    </row>
    <row r="97" spans="1:10" ht="15.75" x14ac:dyDescent="0.25">
      <c r="A97" s="269" t="s">
        <v>108</v>
      </c>
      <c r="B97" s="269"/>
      <c r="C97" s="269"/>
      <c r="D97" s="269"/>
      <c r="E97" s="269"/>
      <c r="F97" s="269"/>
      <c r="G97" s="269"/>
      <c r="H97" s="269"/>
    </row>
    <row r="98" spans="1:10" ht="15.75" x14ac:dyDescent="0.25">
      <c r="A98" s="12" t="s">
        <v>91</v>
      </c>
      <c r="B98" s="51" t="s">
        <v>236</v>
      </c>
      <c r="C98" s="51"/>
      <c r="D98" s="53"/>
      <c r="E98" s="53"/>
      <c r="F98" s="53"/>
      <c r="G98" s="45">
        <f>G92</f>
        <v>6.0710699999999999E-2</v>
      </c>
      <c r="H98" s="28">
        <f>H92</f>
        <v>42.438963254999997</v>
      </c>
    </row>
    <row r="99" spans="1:10" ht="15.75" x14ac:dyDescent="0.25">
      <c r="A99" s="12" t="s">
        <v>104</v>
      </c>
      <c r="B99" s="51" t="s">
        <v>234</v>
      </c>
      <c r="C99" s="51"/>
      <c r="D99" s="53"/>
      <c r="E99" s="53"/>
      <c r="F99" s="53"/>
      <c r="G99" s="45">
        <f>G96</f>
        <v>0</v>
      </c>
      <c r="H99" s="28">
        <f>H96</f>
        <v>0</v>
      </c>
    </row>
    <row r="100" spans="1:10" ht="15.75" x14ac:dyDescent="0.25">
      <c r="A100" s="73"/>
      <c r="B100" s="55" t="s">
        <v>45</v>
      </c>
      <c r="C100" s="55"/>
      <c r="D100" s="41"/>
      <c r="E100" s="41"/>
      <c r="F100" s="74"/>
      <c r="G100" s="57">
        <f>G96+G92</f>
        <v>6.0710699999999999E-2</v>
      </c>
      <c r="H100" s="58">
        <f>SUM(H98:H99)</f>
        <v>42.438963254999997</v>
      </c>
    </row>
    <row r="101" spans="1:10" ht="15.75" x14ac:dyDescent="0.25">
      <c r="A101" s="83">
        <v>5</v>
      </c>
      <c r="B101" s="269" t="s">
        <v>110</v>
      </c>
      <c r="C101" s="269"/>
      <c r="D101" s="269"/>
      <c r="E101" s="269"/>
      <c r="F101" s="269"/>
      <c r="G101" s="269"/>
      <c r="H101" s="269"/>
    </row>
    <row r="102" spans="1:10" ht="15.75" x14ac:dyDescent="0.25">
      <c r="A102" s="12" t="s">
        <v>4</v>
      </c>
      <c r="B102" s="13" t="s">
        <v>111</v>
      </c>
      <c r="C102" s="13"/>
      <c r="D102" s="84"/>
      <c r="E102" s="27"/>
      <c r="F102" s="85"/>
      <c r="G102" s="85"/>
      <c r="H102" s="85">
        <v>34.33</v>
      </c>
    </row>
    <row r="103" spans="1:10" ht="15.75" x14ac:dyDescent="0.25">
      <c r="A103" s="12" t="s">
        <v>7</v>
      </c>
      <c r="B103" s="13" t="s">
        <v>112</v>
      </c>
      <c r="C103" s="13"/>
      <c r="D103" s="84"/>
      <c r="E103" s="27"/>
      <c r="F103" s="85"/>
      <c r="G103" s="85"/>
      <c r="H103" s="85"/>
    </row>
    <row r="104" spans="1:10" ht="15.75" x14ac:dyDescent="0.25">
      <c r="A104" s="12" t="s">
        <v>9</v>
      </c>
      <c r="B104" s="13" t="s">
        <v>113</v>
      </c>
      <c r="C104" s="13"/>
      <c r="D104" s="84"/>
      <c r="E104" s="27"/>
      <c r="F104" s="85"/>
      <c r="G104" s="85"/>
      <c r="H104" s="85">
        <v>385.13</v>
      </c>
    </row>
    <row r="105" spans="1:10" ht="15.75" x14ac:dyDescent="0.25">
      <c r="A105" s="12" t="s">
        <v>17</v>
      </c>
      <c r="B105" s="13" t="s">
        <v>164</v>
      </c>
      <c r="C105" s="13"/>
      <c r="D105" s="84"/>
      <c r="E105" s="27"/>
      <c r="F105" s="85"/>
      <c r="G105" s="85"/>
      <c r="H105" s="85">
        <v>107.9</v>
      </c>
    </row>
    <row r="106" spans="1:10" ht="15.75" x14ac:dyDescent="0.25">
      <c r="A106" s="12" t="s">
        <v>40</v>
      </c>
      <c r="B106" s="13" t="s">
        <v>101</v>
      </c>
      <c r="C106" s="13"/>
      <c r="D106" s="84"/>
      <c r="E106" s="27"/>
      <c r="F106" s="85"/>
      <c r="G106" s="85"/>
      <c r="H106" s="85">
        <v>0</v>
      </c>
    </row>
    <row r="107" spans="1:10" ht="15.75" x14ac:dyDescent="0.25">
      <c r="A107" s="73"/>
      <c r="B107" s="55" t="s">
        <v>45</v>
      </c>
      <c r="C107" s="55"/>
      <c r="D107" s="41"/>
      <c r="E107" s="41"/>
      <c r="F107" s="74"/>
      <c r="G107" s="57"/>
      <c r="H107" s="58">
        <f>SUM(H102:H106)</f>
        <v>527.36</v>
      </c>
    </row>
    <row r="108" spans="1:10" ht="15.75" x14ac:dyDescent="0.25">
      <c r="A108" s="83">
        <v>6</v>
      </c>
      <c r="B108" s="269" t="s">
        <v>114</v>
      </c>
      <c r="C108" s="269"/>
      <c r="D108" s="269"/>
      <c r="E108" s="269"/>
      <c r="F108" s="269"/>
      <c r="G108" s="269"/>
      <c r="H108" s="269"/>
    </row>
    <row r="109" spans="1:10" ht="15.75" x14ac:dyDescent="0.25">
      <c r="A109" s="86" t="s">
        <v>4</v>
      </c>
      <c r="B109" s="27"/>
      <c r="C109" s="27"/>
      <c r="D109" s="27"/>
      <c r="E109" s="27"/>
      <c r="F109" s="27" t="s">
        <v>115</v>
      </c>
      <c r="G109" s="52">
        <v>0.01</v>
      </c>
      <c r="H109" s="28">
        <f>G109*H124</f>
        <v>25.77341333991</v>
      </c>
    </row>
    <row r="110" spans="1:10" ht="15.75" x14ac:dyDescent="0.25">
      <c r="A110" s="86" t="s">
        <v>7</v>
      </c>
      <c r="B110" s="27"/>
      <c r="C110" s="27"/>
      <c r="D110" s="27"/>
      <c r="E110" s="27"/>
      <c r="F110" s="12" t="s">
        <v>116</v>
      </c>
      <c r="G110" s="52">
        <v>0.01</v>
      </c>
      <c r="H110" s="28">
        <f>SUM(H109+H124)*$G$110</f>
        <v>26.031147473309098</v>
      </c>
    </row>
    <row r="111" spans="1:10" ht="15.75" x14ac:dyDescent="0.25">
      <c r="A111" s="86" t="s">
        <v>9</v>
      </c>
      <c r="B111" s="27"/>
      <c r="C111" s="27"/>
      <c r="D111" s="27"/>
      <c r="E111" s="27"/>
      <c r="F111" s="12" t="s">
        <v>117</v>
      </c>
      <c r="G111" s="87">
        <f>SUM(G112:G116)</f>
        <v>8.6499999999999994E-2</v>
      </c>
      <c r="H111" s="28">
        <f>H113+H114+H116</f>
        <v>248.95579627866988</v>
      </c>
    </row>
    <row r="112" spans="1:10" ht="15.75" x14ac:dyDescent="0.25">
      <c r="A112" s="86" t="s">
        <v>118</v>
      </c>
      <c r="B112" s="27"/>
      <c r="C112" s="27"/>
      <c r="D112" s="27"/>
      <c r="E112" s="27"/>
      <c r="F112" s="88" t="s">
        <v>119</v>
      </c>
      <c r="G112" s="45">
        <v>0</v>
      </c>
      <c r="H112" s="28"/>
      <c r="J112" s="120">
        <f>H109+H110+H124</f>
        <v>2629.1458948042191</v>
      </c>
    </row>
    <row r="113" spans="1:10" ht="15.75" x14ac:dyDescent="0.25">
      <c r="A113" s="86" t="s">
        <v>120</v>
      </c>
      <c r="B113" s="27"/>
      <c r="C113" s="27"/>
      <c r="D113" s="27"/>
      <c r="E113" s="27"/>
      <c r="F113" s="88" t="s">
        <v>121</v>
      </c>
      <c r="G113" s="52">
        <v>6.4999999999999997E-3</v>
      </c>
      <c r="H113" s="28">
        <f>((H109+H110+H124)/0.9135)*G113</f>
        <v>18.707660992038779</v>
      </c>
      <c r="J113" s="157">
        <f>J112/0.9135</f>
        <v>2878.1016910828889</v>
      </c>
    </row>
    <row r="114" spans="1:10" ht="15.75" x14ac:dyDescent="0.25">
      <c r="A114" s="86" t="s">
        <v>122</v>
      </c>
      <c r="B114" s="27"/>
      <c r="C114" s="27"/>
      <c r="D114" s="27"/>
      <c r="E114" s="27"/>
      <c r="F114" s="88" t="s">
        <v>123</v>
      </c>
      <c r="G114" s="52">
        <v>0.03</v>
      </c>
      <c r="H114" s="28">
        <f>((H109+H110+H124)/0.9135)*G114</f>
        <v>86.34305073248666</v>
      </c>
    </row>
    <row r="115" spans="1:10" ht="15.75" x14ac:dyDescent="0.25">
      <c r="A115" s="86" t="s">
        <v>124</v>
      </c>
      <c r="B115" s="27"/>
      <c r="C115" s="27"/>
      <c r="D115" s="27"/>
      <c r="E115" s="27"/>
      <c r="F115" s="88" t="s">
        <v>125</v>
      </c>
      <c r="G115" s="45">
        <v>0</v>
      </c>
      <c r="H115" s="28"/>
    </row>
    <row r="116" spans="1:10" ht="15.75" x14ac:dyDescent="0.25">
      <c r="A116" s="86" t="s">
        <v>126</v>
      </c>
      <c r="B116" s="27"/>
      <c r="C116" s="27"/>
      <c r="D116" s="27"/>
      <c r="E116" s="27"/>
      <c r="F116" s="88" t="s">
        <v>127</v>
      </c>
      <c r="G116" s="45">
        <v>0.05</v>
      </c>
      <c r="H116" s="28">
        <f>((H109+H110+H124)/0.9135)*G116</f>
        <v>143.90508455414445</v>
      </c>
    </row>
    <row r="117" spans="1:10" ht="15.75" x14ac:dyDescent="0.25">
      <c r="A117" s="73"/>
      <c r="B117" s="55" t="s">
        <v>45</v>
      </c>
      <c r="C117" s="55"/>
      <c r="D117" s="41"/>
      <c r="E117" s="41"/>
      <c r="F117" s="74"/>
      <c r="G117" s="57">
        <f>G111+G110+G109</f>
        <v>0.10649999999999998</v>
      </c>
      <c r="H117" s="58">
        <f>SUM(H109:H111)</f>
        <v>300.76035709188898</v>
      </c>
    </row>
    <row r="118" spans="1:10" ht="15.75" x14ac:dyDescent="0.25">
      <c r="A118" s="89"/>
      <c r="B118" s="267" t="s">
        <v>128</v>
      </c>
      <c r="C118" s="267"/>
      <c r="D118" s="267"/>
      <c r="E118" s="267"/>
      <c r="F118" s="267"/>
      <c r="G118" s="267"/>
      <c r="H118" s="267"/>
    </row>
    <row r="119" spans="1:10" ht="15.75" x14ac:dyDescent="0.25">
      <c r="A119" s="90" t="s">
        <v>4</v>
      </c>
      <c r="B119" s="27" t="s">
        <v>30</v>
      </c>
      <c r="C119" s="27"/>
      <c r="D119" s="27"/>
      <c r="E119" s="27"/>
      <c r="F119" s="28"/>
      <c r="G119" s="45">
        <f>SUM(H119/H$126)</f>
        <v>0.39404792523967064</v>
      </c>
      <c r="H119" s="28">
        <f>SUM(H38)</f>
        <v>1134.1099999999999</v>
      </c>
    </row>
    <row r="120" spans="1:10" ht="15.75" x14ac:dyDescent="0.25">
      <c r="A120" s="90" t="s">
        <v>7</v>
      </c>
      <c r="B120" s="27" t="s">
        <v>129</v>
      </c>
      <c r="C120" s="27"/>
      <c r="D120" s="27"/>
      <c r="E120" s="27"/>
      <c r="F120" s="28"/>
      <c r="G120" s="45">
        <f>SUM(H120/H$126)</f>
        <v>0.29111072317558018</v>
      </c>
      <c r="H120" s="28">
        <f>H72</f>
        <v>837.84626466400005</v>
      </c>
    </row>
    <row r="121" spans="1:10" ht="15.75" x14ac:dyDescent="0.25">
      <c r="A121" s="90" t="s">
        <v>9</v>
      </c>
      <c r="B121" s="27" t="s">
        <v>130</v>
      </c>
      <c r="C121" s="27"/>
      <c r="D121" s="27"/>
      <c r="E121" s="27"/>
      <c r="F121" s="28"/>
      <c r="G121" s="45">
        <f>SUM(H121/H$126)</f>
        <v>1.2364436664018876E-2</v>
      </c>
      <c r="H121" s="28">
        <f>H80</f>
        <v>35.586106072</v>
      </c>
    </row>
    <row r="122" spans="1:10" ht="15.75" x14ac:dyDescent="0.25">
      <c r="A122" s="90" t="s">
        <v>17</v>
      </c>
      <c r="B122" s="27" t="s">
        <v>131</v>
      </c>
      <c r="C122" s="27"/>
      <c r="D122" s="27"/>
      <c r="E122" s="27"/>
      <c r="F122" s="28"/>
      <c r="G122" s="45">
        <f>SUM(H122/H$126)</f>
        <v>1.4745470386431096E-2</v>
      </c>
      <c r="H122" s="28">
        <f>H100</f>
        <v>42.438963254999997</v>
      </c>
    </row>
    <row r="123" spans="1:10" ht="15.75" x14ac:dyDescent="0.25">
      <c r="A123" s="90" t="s">
        <v>40</v>
      </c>
      <c r="B123" s="27" t="s">
        <v>110</v>
      </c>
      <c r="C123" s="27"/>
      <c r="D123" s="27"/>
      <c r="E123" s="27"/>
      <c r="F123" s="28"/>
      <c r="G123" s="45">
        <f>H123/H126</f>
        <v>0.18323188566752144</v>
      </c>
      <c r="H123" s="28">
        <f>H107</f>
        <v>527.36</v>
      </c>
    </row>
    <row r="124" spans="1:10" ht="15.75" x14ac:dyDescent="0.25">
      <c r="A124" s="90"/>
      <c r="B124" s="27" t="s">
        <v>132</v>
      </c>
      <c r="C124" s="27"/>
      <c r="D124" s="27"/>
      <c r="E124" s="27"/>
      <c r="F124" s="28"/>
      <c r="G124" s="45">
        <f>SUM(G119:G123)</f>
        <v>0.89550044113322225</v>
      </c>
      <c r="H124" s="28">
        <f>SUM(H119:H123)</f>
        <v>2577.3413339909998</v>
      </c>
    </row>
    <row r="125" spans="1:10" ht="15.75" x14ac:dyDescent="0.25">
      <c r="A125" s="90" t="s">
        <v>40</v>
      </c>
      <c r="B125" s="27" t="s">
        <v>133</v>
      </c>
      <c r="C125" s="27"/>
      <c r="D125" s="27"/>
      <c r="E125" s="27"/>
      <c r="F125" s="28"/>
      <c r="G125" s="45">
        <f>SUM(H125/H$126)</f>
        <v>0.10449955886677777</v>
      </c>
      <c r="H125" s="28">
        <f>H117</f>
        <v>300.76035709188898</v>
      </c>
      <c r="I125" s="115"/>
    </row>
    <row r="126" spans="1:10" ht="15.75" x14ac:dyDescent="0.25">
      <c r="A126" s="55"/>
      <c r="B126" s="55" t="s">
        <v>134</v>
      </c>
      <c r="C126" s="55"/>
      <c r="D126" s="55"/>
      <c r="E126" s="55"/>
      <c r="F126" s="55"/>
      <c r="G126" s="55">
        <f>SUM(G124+G125)</f>
        <v>1</v>
      </c>
      <c r="H126" s="91">
        <f>H125+H124</f>
        <v>2878.1016910828889</v>
      </c>
      <c r="I126" s="115"/>
    </row>
    <row r="127" spans="1:10" ht="15.75" x14ac:dyDescent="0.25">
      <c r="A127" s="92"/>
      <c r="B127" s="267" t="s">
        <v>135</v>
      </c>
      <c r="C127" s="267"/>
      <c r="D127" s="267"/>
      <c r="E127" s="267"/>
      <c r="F127" s="267"/>
      <c r="G127" s="267"/>
      <c r="H127" s="267"/>
    </row>
    <row r="128" spans="1:10" ht="47.25" x14ac:dyDescent="0.25">
      <c r="A128" s="27"/>
      <c r="B128" s="16" t="s">
        <v>20</v>
      </c>
      <c r="C128" s="16"/>
      <c r="D128" s="93" t="s">
        <v>136</v>
      </c>
      <c r="E128" s="93" t="s">
        <v>137</v>
      </c>
      <c r="F128" s="94" t="s">
        <v>138</v>
      </c>
      <c r="G128" s="93" t="s">
        <v>139</v>
      </c>
      <c r="H128" s="95" t="s">
        <v>140</v>
      </c>
    </row>
    <row r="129" spans="1:8" ht="15.75" x14ac:dyDescent="0.25">
      <c r="A129" s="27"/>
      <c r="B129" s="3" t="s">
        <v>141</v>
      </c>
      <c r="C129" s="3"/>
      <c r="D129" s="3" t="s">
        <v>142</v>
      </c>
      <c r="E129" s="96" t="s">
        <v>143</v>
      </c>
      <c r="F129" s="97" t="s">
        <v>144</v>
      </c>
      <c r="G129" s="3" t="s">
        <v>145</v>
      </c>
      <c r="H129" s="98" t="s">
        <v>146</v>
      </c>
    </row>
    <row r="130" spans="1:8" ht="15.75" x14ac:dyDescent="0.25">
      <c r="A130" s="1"/>
      <c r="B130" s="14"/>
      <c r="C130" s="14"/>
      <c r="D130" s="99">
        <f>SUM(H126)</f>
        <v>2878.1016910828889</v>
      </c>
      <c r="E130" s="100">
        <v>3</v>
      </c>
      <c r="F130" s="99">
        <f>D130*E130</f>
        <v>8634.3050732486663</v>
      </c>
      <c r="G130" s="101">
        <v>3</v>
      </c>
      <c r="H130" s="28">
        <f>E130*D130</f>
        <v>8634.3050732486663</v>
      </c>
    </row>
    <row r="131" spans="1:8" ht="15.75" x14ac:dyDescent="0.25">
      <c r="A131" s="27"/>
      <c r="B131" s="102" t="s">
        <v>147</v>
      </c>
      <c r="C131" s="102"/>
      <c r="D131" s="103"/>
      <c r="E131" s="103"/>
      <c r="F131" s="103"/>
      <c r="G131" s="103"/>
      <c r="H131" s="104">
        <f>SUM(H130)</f>
        <v>8634.3050732486663</v>
      </c>
    </row>
    <row r="132" spans="1:8" ht="15.75" x14ac:dyDescent="0.25">
      <c r="A132" s="27"/>
      <c r="B132" s="16"/>
      <c r="C132" s="16"/>
      <c r="D132" s="105"/>
      <c r="E132" s="16"/>
      <c r="F132" s="16"/>
      <c r="G132" s="16"/>
      <c r="H132" s="16"/>
    </row>
    <row r="133" spans="1:8" ht="15.75" x14ac:dyDescent="0.25">
      <c r="A133" s="83"/>
      <c r="B133" s="267" t="s">
        <v>148</v>
      </c>
      <c r="C133" s="267"/>
      <c r="D133" s="267"/>
      <c r="E133" s="267"/>
      <c r="F133" s="267"/>
      <c r="G133" s="267"/>
      <c r="H133" s="267"/>
    </row>
    <row r="134" spans="1:8" ht="15.75" x14ac:dyDescent="0.25">
      <c r="A134" s="106"/>
      <c r="B134" s="106" t="s">
        <v>149</v>
      </c>
      <c r="C134" s="106"/>
      <c r="D134" s="106"/>
      <c r="E134" s="16"/>
      <c r="F134" s="16"/>
      <c r="G134" s="16"/>
      <c r="H134" s="107" t="s">
        <v>150</v>
      </c>
    </row>
    <row r="135" spans="1:8" ht="15.75" x14ac:dyDescent="0.25">
      <c r="A135" s="108" t="s">
        <v>4</v>
      </c>
      <c r="B135" s="109" t="s">
        <v>151</v>
      </c>
      <c r="C135" s="109"/>
      <c r="D135" s="109"/>
      <c r="E135" s="13"/>
      <c r="F135" s="13"/>
      <c r="G135" s="13"/>
      <c r="H135" s="107">
        <f>D130</f>
        <v>2878.1016910828889</v>
      </c>
    </row>
    <row r="136" spans="1:8" ht="15.75" x14ac:dyDescent="0.25">
      <c r="A136" s="108" t="s">
        <v>7</v>
      </c>
      <c r="B136" s="109" t="s">
        <v>152</v>
      </c>
      <c r="C136" s="109"/>
      <c r="D136" s="109"/>
      <c r="E136" s="13"/>
      <c r="F136" s="13"/>
      <c r="G136" s="13"/>
      <c r="H136" s="107">
        <f>H131</f>
        <v>8634.3050732486663</v>
      </c>
    </row>
    <row r="137" spans="1:8" ht="15.75" x14ac:dyDescent="0.25">
      <c r="A137" s="108" t="s">
        <v>17</v>
      </c>
      <c r="B137" s="7" t="s">
        <v>153</v>
      </c>
      <c r="C137" s="7"/>
      <c r="D137" s="109"/>
      <c r="E137" s="13"/>
      <c r="F137" s="13"/>
      <c r="G137" s="100">
        <v>12</v>
      </c>
      <c r="H137" s="107">
        <f>SUM(H136*G137)</f>
        <v>103611.660878984</v>
      </c>
    </row>
    <row r="138" spans="1:8" ht="15.75" x14ac:dyDescent="0.25">
      <c r="A138" s="6"/>
      <c r="B138" s="6"/>
      <c r="C138" s="6"/>
      <c r="D138" s="6"/>
      <c r="E138" s="6"/>
      <c r="F138" s="6"/>
      <c r="G138" s="6"/>
      <c r="H138" s="6"/>
    </row>
    <row r="140" spans="1:8" x14ac:dyDescent="0.25">
      <c r="A140" s="149" t="s">
        <v>204</v>
      </c>
      <c r="B140" s="149"/>
    </row>
    <row r="141" spans="1:8" x14ac:dyDescent="0.25">
      <c r="A141" s="149" t="s">
        <v>205</v>
      </c>
      <c r="B141" s="149"/>
    </row>
    <row r="142" spans="1:8" x14ac:dyDescent="0.25">
      <c r="A142" s="149" t="s">
        <v>206</v>
      </c>
      <c r="B142" s="149"/>
    </row>
    <row r="143" spans="1:8" x14ac:dyDescent="0.25">
      <c r="A143" s="149"/>
      <c r="B143" s="149"/>
    </row>
    <row r="144" spans="1:8" x14ac:dyDescent="0.25">
      <c r="A144" s="149" t="s">
        <v>207</v>
      </c>
      <c r="B144" s="149"/>
    </row>
    <row r="146" spans="1:5" x14ac:dyDescent="0.25">
      <c r="A146" t="s">
        <v>208</v>
      </c>
    </row>
    <row r="147" spans="1:5" x14ac:dyDescent="0.25">
      <c r="A147" s="149" t="s">
        <v>209</v>
      </c>
    </row>
    <row r="148" spans="1:5" x14ac:dyDescent="0.25">
      <c r="A148" s="149" t="s">
        <v>210</v>
      </c>
    </row>
    <row r="149" spans="1:5" x14ac:dyDescent="0.25">
      <c r="A149" s="149"/>
    </row>
    <row r="150" spans="1:5" x14ac:dyDescent="0.25">
      <c r="A150" s="149" t="s">
        <v>211</v>
      </c>
    </row>
    <row r="151" spans="1:5" x14ac:dyDescent="0.25">
      <c r="A151" s="149"/>
    </row>
    <row r="152" spans="1:5" x14ac:dyDescent="0.25">
      <c r="A152" s="149" t="s">
        <v>212</v>
      </c>
    </row>
    <row r="153" spans="1:5" x14ac:dyDescent="0.25">
      <c r="A153" s="149" t="s">
        <v>213</v>
      </c>
    </row>
    <row r="154" spans="1:5" x14ac:dyDescent="0.25">
      <c r="A154" s="149"/>
    </row>
    <row r="155" spans="1:5" x14ac:dyDescent="0.25">
      <c r="A155" s="149" t="s">
        <v>207</v>
      </c>
    </row>
    <row r="156" spans="1:5" x14ac:dyDescent="0.25">
      <c r="A156" s="149" t="s">
        <v>223</v>
      </c>
    </row>
    <row r="157" spans="1:5" x14ac:dyDescent="0.25">
      <c r="A157" s="150" t="s">
        <v>214</v>
      </c>
      <c r="B157" s="151"/>
      <c r="C157" s="151"/>
      <c r="D157" s="151"/>
      <c r="E157" s="151"/>
    </row>
    <row r="158" spans="1:5" x14ac:dyDescent="0.25">
      <c r="A158" s="150"/>
      <c r="B158" s="151"/>
      <c r="C158" s="151"/>
      <c r="D158" s="151"/>
      <c r="E158" s="151"/>
    </row>
    <row r="159" spans="1:5" x14ac:dyDescent="0.25">
      <c r="A159" s="150" t="s">
        <v>215</v>
      </c>
      <c r="B159" s="151" t="s">
        <v>216</v>
      </c>
      <c r="C159" s="151" t="s">
        <v>217</v>
      </c>
      <c r="D159" s="151" t="s">
        <v>218</v>
      </c>
      <c r="E159" s="151" t="s">
        <v>219</v>
      </c>
    </row>
    <row r="160" spans="1:5" x14ac:dyDescent="0.25">
      <c r="A160" s="150" t="s">
        <v>220</v>
      </c>
      <c r="B160" s="152">
        <v>1.6500000000000001E-2</v>
      </c>
      <c r="C160" s="152">
        <v>7.5999999999999998E-2</v>
      </c>
      <c r="D160" s="153">
        <v>0.05</v>
      </c>
      <c r="E160" s="151">
        <v>0.85750000000000004</v>
      </c>
    </row>
    <row r="161" spans="1:5" x14ac:dyDescent="0.25">
      <c r="A161" s="150" t="s">
        <v>221</v>
      </c>
      <c r="B161" s="152">
        <v>6.4999999999999997E-3</v>
      </c>
      <c r="C161" s="153">
        <v>0.03</v>
      </c>
      <c r="D161" s="153">
        <v>0.05</v>
      </c>
      <c r="E161" s="151">
        <v>0.91349999999999998</v>
      </c>
    </row>
    <row r="162" spans="1:5" x14ac:dyDescent="0.25">
      <c r="A162" s="150" t="s">
        <v>222</v>
      </c>
      <c r="B162" s="152">
        <v>4.4000000000000003E-3</v>
      </c>
      <c r="C162" s="152">
        <v>2.35E-2</v>
      </c>
      <c r="D162" s="153">
        <v>0.05</v>
      </c>
      <c r="E162" s="151">
        <v>0.92210000000000003</v>
      </c>
    </row>
    <row r="164" spans="1:5" x14ac:dyDescent="0.25">
      <c r="A164" s="155" t="s">
        <v>225</v>
      </c>
    </row>
  </sheetData>
  <mergeCells count="51">
    <mergeCell ref="B118:H118"/>
    <mergeCell ref="B127:H127"/>
    <mergeCell ref="B133:H133"/>
    <mergeCell ref="C84:C89"/>
    <mergeCell ref="E84:E89"/>
    <mergeCell ref="B93:H93"/>
    <mergeCell ref="A97:H97"/>
    <mergeCell ref="B101:H101"/>
    <mergeCell ref="B108:H108"/>
    <mergeCell ref="B82:H82"/>
    <mergeCell ref="A60:A62"/>
    <mergeCell ref="D60:D61"/>
    <mergeCell ref="E60:E61"/>
    <mergeCell ref="F60:F61"/>
    <mergeCell ref="G60:G61"/>
    <mergeCell ref="B62:E62"/>
    <mergeCell ref="B63:E63"/>
    <mergeCell ref="B67:E67"/>
    <mergeCell ref="A68:H68"/>
    <mergeCell ref="B73:H73"/>
    <mergeCell ref="B81:H81"/>
    <mergeCell ref="B55:H55"/>
    <mergeCell ref="A57:A59"/>
    <mergeCell ref="D57:D58"/>
    <mergeCell ref="E57:E58"/>
    <mergeCell ref="F57:F58"/>
    <mergeCell ref="G57:G58"/>
    <mergeCell ref="D47:E48"/>
    <mergeCell ref="E18:H18"/>
    <mergeCell ref="B19:H19"/>
    <mergeCell ref="A20:H20"/>
    <mergeCell ref="D21:H21"/>
    <mergeCell ref="D22:H22"/>
    <mergeCell ref="D24:H24"/>
    <mergeCell ref="D25:H25"/>
    <mergeCell ref="B26:H26"/>
    <mergeCell ref="B39:H39"/>
    <mergeCell ref="B40:H40"/>
    <mergeCell ref="B45:H45"/>
    <mergeCell ref="E17:H17"/>
    <mergeCell ref="A3:H3"/>
    <mergeCell ref="E4:H6"/>
    <mergeCell ref="A7:D7"/>
    <mergeCell ref="A8:H8"/>
    <mergeCell ref="D9:H9"/>
    <mergeCell ref="D10:H10"/>
    <mergeCell ref="D11:H11"/>
    <mergeCell ref="D12:H12"/>
    <mergeCell ref="A14:H14"/>
    <mergeCell ref="E15:H15"/>
    <mergeCell ref="E16:H16"/>
  </mergeCells>
  <dataValidations count="4">
    <dataValidation type="list" operator="equal" allowBlank="1" showErrorMessage="1" promptTitle="Percentual" sqref="E31">
      <formula1>$K$28:$K$31</formula1>
      <formula2>0</formula2>
    </dataValidation>
    <dataValidation type="list" operator="equal" allowBlank="1" showErrorMessage="1" sqref="D31">
      <formula1>$J$28:$J$31</formula1>
      <formula2>0</formula2>
    </dataValidation>
    <dataValidation type="list" operator="equal" allowBlank="1" showErrorMessage="1" sqref="E28">
      <formula1>$K$33:$K$34</formula1>
      <formula2>0</formula2>
    </dataValidation>
    <dataValidation type="list" operator="equal" allowBlank="1" showErrorMessage="1" sqref="D28">
      <formula1>$J$33:$J$34</formula1>
      <formula2>0</formula2>
    </dataValidation>
  </dataValidations>
  <pageMargins left="0.7" right="0.7" top="0.75" bottom="0.75" header="0.3" footer="0.3"/>
  <pageSetup scale="45" orientation="portrait"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63"/>
  <sheetViews>
    <sheetView topLeftCell="A116" zoomScale="70" zoomScaleNormal="70" workbookViewId="0">
      <selection activeCell="H84" sqref="H84"/>
    </sheetView>
  </sheetViews>
  <sheetFormatPr defaultRowHeight="15" x14ac:dyDescent="0.25"/>
  <cols>
    <col min="1" max="1" width="4.85546875" bestFit="1" customWidth="1"/>
    <col min="2" max="2" width="54.85546875" customWidth="1"/>
    <col min="3" max="3" width="11.5703125" customWidth="1"/>
    <col min="4" max="4" width="34" customWidth="1"/>
    <col min="5" max="5" width="18" customWidth="1"/>
    <col min="6" max="6" width="25.28515625" bestFit="1" customWidth="1"/>
    <col min="7" max="7" width="11.5703125" bestFit="1" customWidth="1"/>
    <col min="8" max="8" width="27.5703125" bestFit="1" customWidth="1"/>
    <col min="9" max="9" width="20.7109375" customWidth="1"/>
    <col min="10" max="10" width="12" bestFit="1" customWidth="1"/>
  </cols>
  <sheetData>
    <row r="1" spans="1:8" x14ac:dyDescent="0.25">
      <c r="A1" s="1"/>
      <c r="B1" s="1"/>
      <c r="C1" s="1"/>
      <c r="D1" s="1"/>
      <c r="E1" s="1"/>
      <c r="F1" s="1"/>
      <c r="G1" s="1"/>
      <c r="H1" s="2"/>
    </row>
    <row r="2" spans="1:8" ht="15.75" x14ac:dyDescent="0.25">
      <c r="A2" s="3"/>
      <c r="B2" s="3" t="s">
        <v>0</v>
      </c>
      <c r="C2" s="3"/>
      <c r="D2" s="4" t="s">
        <v>1</v>
      </c>
      <c r="E2" s="3"/>
      <c r="F2" s="3" t="s">
        <v>2</v>
      </c>
      <c r="G2" s="3"/>
      <c r="H2" s="5" t="s">
        <v>156</v>
      </c>
    </row>
    <row r="3" spans="1:8" ht="15.75" x14ac:dyDescent="0.25">
      <c r="A3" s="269" t="s">
        <v>3</v>
      </c>
      <c r="B3" s="269"/>
      <c r="C3" s="269"/>
      <c r="D3" s="269"/>
      <c r="E3" s="269"/>
      <c r="F3" s="269"/>
      <c r="G3" s="269"/>
      <c r="H3" s="269"/>
    </row>
    <row r="4" spans="1:8" ht="15.75" x14ac:dyDescent="0.25">
      <c r="A4" s="6" t="s">
        <v>4</v>
      </c>
      <c r="B4" s="7" t="s">
        <v>5</v>
      </c>
      <c r="C4" s="7"/>
      <c r="D4" s="8"/>
      <c r="E4" s="287" t="s">
        <v>6</v>
      </c>
      <c r="F4" s="287"/>
      <c r="G4" s="287"/>
      <c r="H4" s="287"/>
    </row>
    <row r="5" spans="1:8" ht="15.75" x14ac:dyDescent="0.25">
      <c r="A5" s="6" t="s">
        <v>7</v>
      </c>
      <c r="B5" s="7" t="s">
        <v>8</v>
      </c>
      <c r="C5" s="7"/>
      <c r="D5" s="9"/>
      <c r="E5" s="287"/>
      <c r="F5" s="287"/>
      <c r="G5" s="287"/>
      <c r="H5" s="287"/>
    </row>
    <row r="6" spans="1:8" ht="15.75" x14ac:dyDescent="0.25">
      <c r="A6" s="6" t="s">
        <v>9</v>
      </c>
      <c r="B6" s="7" t="s">
        <v>10</v>
      </c>
      <c r="C6" s="7"/>
      <c r="D6" s="10" t="s">
        <v>11</v>
      </c>
      <c r="E6" s="287"/>
      <c r="F6" s="287"/>
      <c r="G6" s="287"/>
      <c r="H6" s="287"/>
    </row>
    <row r="7" spans="1:8" ht="15.75" x14ac:dyDescent="0.25">
      <c r="A7" s="288"/>
      <c r="B7" s="288"/>
      <c r="C7" s="288"/>
      <c r="D7" s="288"/>
      <c r="E7" s="11"/>
      <c r="F7" s="11"/>
      <c r="G7" s="11"/>
      <c r="H7" s="11"/>
    </row>
    <row r="8" spans="1:8" ht="15.75" x14ac:dyDescent="0.25">
      <c r="A8" s="269" t="s">
        <v>12</v>
      </c>
      <c r="B8" s="269"/>
      <c r="C8" s="269"/>
      <c r="D8" s="269"/>
      <c r="E8" s="269"/>
      <c r="F8" s="269"/>
      <c r="G8" s="269"/>
      <c r="H8" s="269"/>
    </row>
    <row r="9" spans="1:8" x14ac:dyDescent="0.25">
      <c r="A9" s="12" t="s">
        <v>4</v>
      </c>
      <c r="B9" s="13" t="s">
        <v>13</v>
      </c>
      <c r="C9" s="13"/>
      <c r="D9" s="281" t="s">
        <v>14</v>
      </c>
      <c r="E9" s="281"/>
      <c r="F9" s="281"/>
      <c r="G9" s="281"/>
      <c r="H9" s="281"/>
    </row>
    <row r="10" spans="1:8" x14ac:dyDescent="0.25">
      <c r="A10" s="12" t="s">
        <v>7</v>
      </c>
      <c r="B10" s="13" t="s">
        <v>15</v>
      </c>
      <c r="C10" s="13"/>
      <c r="D10" s="289" t="s">
        <v>186</v>
      </c>
      <c r="E10" s="289"/>
      <c r="F10" s="289"/>
      <c r="G10" s="289"/>
      <c r="H10" s="289"/>
    </row>
    <row r="11" spans="1:8" x14ac:dyDescent="0.25">
      <c r="A11" s="12" t="s">
        <v>9</v>
      </c>
      <c r="B11" s="13" t="s">
        <v>16</v>
      </c>
      <c r="C11" s="13"/>
      <c r="D11" s="289" t="s">
        <v>174</v>
      </c>
      <c r="E11" s="289"/>
      <c r="F11" s="289"/>
      <c r="G11" s="289"/>
      <c r="H11" s="289"/>
    </row>
    <row r="12" spans="1:8" x14ac:dyDescent="0.25">
      <c r="A12" s="12" t="s">
        <v>17</v>
      </c>
      <c r="B12" s="13" t="s">
        <v>18</v>
      </c>
      <c r="C12" s="13"/>
      <c r="D12" s="289">
        <v>12</v>
      </c>
      <c r="E12" s="289"/>
      <c r="F12" s="289"/>
      <c r="G12" s="289"/>
      <c r="H12" s="289"/>
    </row>
    <row r="13" spans="1:8" x14ac:dyDescent="0.25">
      <c r="A13" s="12"/>
      <c r="B13" s="13"/>
      <c r="C13" s="13"/>
      <c r="D13" s="14"/>
      <c r="E13" s="14"/>
      <c r="F13" s="14"/>
      <c r="G13" s="14"/>
      <c r="H13" s="15"/>
    </row>
    <row r="14" spans="1:8" ht="15.75" x14ac:dyDescent="0.25">
      <c r="A14" s="269" t="s">
        <v>19</v>
      </c>
      <c r="B14" s="269"/>
      <c r="C14" s="269"/>
      <c r="D14" s="269"/>
      <c r="E14" s="269"/>
      <c r="F14" s="269"/>
      <c r="G14" s="269"/>
      <c r="H14" s="269"/>
    </row>
    <row r="15" spans="1:8" ht="15.75" x14ac:dyDescent="0.25">
      <c r="A15" s="12"/>
      <c r="B15" s="16" t="s">
        <v>20</v>
      </c>
      <c r="C15" s="16"/>
      <c r="D15" s="17" t="s">
        <v>21</v>
      </c>
      <c r="E15" s="290" t="s">
        <v>22</v>
      </c>
      <c r="F15" s="290"/>
      <c r="G15" s="290"/>
      <c r="H15" s="290"/>
    </row>
    <row r="16" spans="1:8" x14ac:dyDescent="0.25">
      <c r="A16" s="12" t="s">
        <v>4</v>
      </c>
      <c r="B16" s="18" t="s">
        <v>180</v>
      </c>
      <c r="C16" s="19"/>
      <c r="D16" s="20" t="s">
        <v>23</v>
      </c>
      <c r="E16" s="291">
        <v>1</v>
      </c>
      <c r="F16" s="291"/>
      <c r="G16" s="291"/>
      <c r="H16" s="291"/>
    </row>
    <row r="17" spans="1:9" x14ac:dyDescent="0.25">
      <c r="A17" s="12" t="s">
        <v>7</v>
      </c>
      <c r="B17" s="13"/>
      <c r="C17" s="13"/>
      <c r="D17" s="21"/>
      <c r="E17" s="279"/>
      <c r="F17" s="279"/>
      <c r="G17" s="279"/>
      <c r="H17" s="279"/>
    </row>
    <row r="18" spans="1:9" x14ac:dyDescent="0.25">
      <c r="A18" s="12" t="s">
        <v>9</v>
      </c>
      <c r="B18" s="13"/>
      <c r="C18" s="13"/>
      <c r="D18" s="21"/>
      <c r="E18" s="279"/>
      <c r="F18" s="279"/>
      <c r="G18" s="279"/>
      <c r="H18" s="279"/>
    </row>
    <row r="19" spans="1:9" ht="15.75" x14ac:dyDescent="0.25">
      <c r="A19" s="110"/>
      <c r="B19" s="269" t="s">
        <v>24</v>
      </c>
      <c r="C19" s="269"/>
      <c r="D19" s="269"/>
      <c r="E19" s="269"/>
      <c r="F19" s="269"/>
      <c r="G19" s="269"/>
      <c r="H19" s="269"/>
    </row>
    <row r="20" spans="1:9" ht="15.75" x14ac:dyDescent="0.25">
      <c r="A20" s="280" t="s">
        <v>25</v>
      </c>
      <c r="B20" s="280"/>
      <c r="C20" s="280"/>
      <c r="D20" s="280"/>
      <c r="E20" s="280"/>
      <c r="F20" s="280"/>
      <c r="G20" s="280"/>
      <c r="H20" s="280"/>
    </row>
    <row r="21" spans="1:9" x14ac:dyDescent="0.25">
      <c r="A21" s="12">
        <v>1</v>
      </c>
      <c r="B21" s="13" t="s">
        <v>20</v>
      </c>
      <c r="C21" s="13"/>
      <c r="D21" s="281" t="s">
        <v>182</v>
      </c>
      <c r="E21" s="281"/>
      <c r="F21" s="281"/>
      <c r="G21" s="281"/>
      <c r="H21" s="281"/>
    </row>
    <row r="22" spans="1:9" x14ac:dyDescent="0.25">
      <c r="A22" s="12">
        <v>2</v>
      </c>
      <c r="B22" s="13" t="s">
        <v>26</v>
      </c>
      <c r="C22" s="13"/>
      <c r="D22" s="282" t="s">
        <v>176</v>
      </c>
      <c r="E22" s="282"/>
      <c r="F22" s="282"/>
      <c r="G22" s="282"/>
      <c r="H22" s="282"/>
    </row>
    <row r="23" spans="1:9" x14ac:dyDescent="0.25">
      <c r="A23" s="12">
        <v>3</v>
      </c>
      <c r="B23" s="13" t="s">
        <v>27</v>
      </c>
      <c r="C23" s="13"/>
      <c r="D23" s="22">
        <v>1134.1099999999999</v>
      </c>
      <c r="E23" s="23"/>
      <c r="F23" s="23"/>
      <c r="G23" s="23"/>
      <c r="H23" s="23"/>
    </row>
    <row r="24" spans="1:9" ht="30" x14ac:dyDescent="0.25">
      <c r="A24" s="1">
        <v>4</v>
      </c>
      <c r="B24" s="24" t="s">
        <v>28</v>
      </c>
      <c r="C24" s="24"/>
      <c r="D24" s="283" t="s">
        <v>170</v>
      </c>
      <c r="E24" s="283"/>
      <c r="F24" s="283"/>
      <c r="G24" s="283"/>
      <c r="H24" s="283"/>
    </row>
    <row r="25" spans="1:9" x14ac:dyDescent="0.25">
      <c r="A25" s="1">
        <v>5</v>
      </c>
      <c r="B25" s="25" t="s">
        <v>29</v>
      </c>
      <c r="C25" s="25"/>
      <c r="D25" s="284" t="s">
        <v>171</v>
      </c>
      <c r="E25" s="284"/>
      <c r="F25" s="284"/>
      <c r="G25" s="284"/>
      <c r="H25" s="284"/>
    </row>
    <row r="26" spans="1:9" ht="15.75" x14ac:dyDescent="0.25">
      <c r="A26" s="26">
        <v>1</v>
      </c>
      <c r="B26" s="267" t="s">
        <v>30</v>
      </c>
      <c r="C26" s="267"/>
      <c r="D26" s="267"/>
      <c r="E26" s="267"/>
      <c r="F26" s="267"/>
      <c r="G26" s="267"/>
      <c r="H26" s="267"/>
    </row>
    <row r="27" spans="1:9" ht="15.75" x14ac:dyDescent="0.25">
      <c r="A27" s="1" t="s">
        <v>4</v>
      </c>
      <c r="B27" s="27" t="s">
        <v>31</v>
      </c>
      <c r="C27" s="27"/>
      <c r="D27" s="27"/>
      <c r="G27" s="28"/>
      <c r="H27" s="29">
        <v>1134.1099999999999</v>
      </c>
    </row>
    <row r="28" spans="1:9" ht="15.75" x14ac:dyDescent="0.25">
      <c r="A28" s="1" t="s">
        <v>7</v>
      </c>
      <c r="B28" s="6" t="s">
        <v>32</v>
      </c>
      <c r="C28" s="6"/>
      <c r="D28" s="30"/>
      <c r="E28" s="31">
        <v>0</v>
      </c>
      <c r="H28" s="32"/>
    </row>
    <row r="29" spans="1:9" ht="15.75" x14ac:dyDescent="0.25">
      <c r="A29" s="1" t="s">
        <v>9</v>
      </c>
      <c r="B29" s="6" t="s">
        <v>34</v>
      </c>
      <c r="C29" s="6"/>
      <c r="D29" s="33" t="s">
        <v>35</v>
      </c>
      <c r="E29" s="34" t="s">
        <v>36</v>
      </c>
      <c r="F29" s="33" t="s">
        <v>37</v>
      </c>
      <c r="G29" s="35"/>
      <c r="H29" s="32"/>
    </row>
    <row r="30" spans="1:9" ht="15.75" x14ac:dyDescent="0.25">
      <c r="A30" s="1" t="s">
        <v>17</v>
      </c>
      <c r="B30" s="6" t="s">
        <v>167</v>
      </c>
      <c r="C30" s="6"/>
      <c r="D30" s="33"/>
      <c r="E30" s="34"/>
      <c r="F30" s="33"/>
      <c r="G30" s="35"/>
      <c r="H30" s="32"/>
      <c r="I30">
        <v>40</v>
      </c>
    </row>
    <row r="31" spans="1:9" ht="15.75" x14ac:dyDescent="0.25">
      <c r="A31" s="1" t="s">
        <v>40</v>
      </c>
      <c r="B31" s="6" t="s">
        <v>38</v>
      </c>
      <c r="C31" s="6"/>
      <c r="D31" s="30" t="s">
        <v>39</v>
      </c>
      <c r="E31" s="36">
        <v>0</v>
      </c>
      <c r="F31" s="37">
        <v>954</v>
      </c>
      <c r="G31" s="27"/>
      <c r="H31" s="38"/>
      <c r="I31">
        <v>120</v>
      </c>
    </row>
    <row r="32" spans="1:9" ht="15.75" x14ac:dyDescent="0.25">
      <c r="A32" s="1" t="s">
        <v>42</v>
      </c>
      <c r="B32" s="6" t="s">
        <v>41</v>
      </c>
      <c r="C32" s="6"/>
      <c r="G32" s="35"/>
      <c r="H32" s="38"/>
    </row>
    <row r="33" spans="1:9" ht="15.75" x14ac:dyDescent="0.25">
      <c r="A33" s="1" t="s">
        <v>61</v>
      </c>
      <c r="B33" s="6" t="s">
        <v>159</v>
      </c>
      <c r="C33" s="6"/>
      <c r="G33" s="35"/>
      <c r="H33" s="38"/>
    </row>
    <row r="34" spans="1:9" ht="15.75" x14ac:dyDescent="0.25">
      <c r="A34" s="1" t="s">
        <v>43</v>
      </c>
      <c r="B34" s="6" t="s">
        <v>155</v>
      </c>
      <c r="C34" s="6"/>
      <c r="G34" s="35"/>
      <c r="H34" s="38"/>
    </row>
    <row r="35" spans="1:9" ht="15.75" x14ac:dyDescent="0.25">
      <c r="A35" s="1" t="s">
        <v>161</v>
      </c>
      <c r="B35" s="8" t="s">
        <v>160</v>
      </c>
      <c r="C35" s="8"/>
      <c r="G35" s="35"/>
      <c r="H35" s="38"/>
    </row>
    <row r="36" spans="1:9" ht="15.75" x14ac:dyDescent="0.25">
      <c r="A36" s="1" t="s">
        <v>165</v>
      </c>
      <c r="B36" s="8" t="s">
        <v>162</v>
      </c>
      <c r="C36" s="8"/>
      <c r="G36" s="35"/>
      <c r="H36" s="38"/>
    </row>
    <row r="37" spans="1:9" ht="15.75" x14ac:dyDescent="0.25">
      <c r="A37" s="1" t="s">
        <v>166</v>
      </c>
      <c r="B37" s="6" t="s">
        <v>44</v>
      </c>
      <c r="C37" s="6"/>
      <c r="D37" s="27"/>
      <c r="E37" s="27"/>
      <c r="F37" s="35"/>
      <c r="G37" s="35"/>
      <c r="H37" s="35">
        <v>0</v>
      </c>
    </row>
    <row r="38" spans="1:9" ht="15.75" x14ac:dyDescent="0.25">
      <c r="A38" s="39"/>
      <c r="B38" s="40" t="s">
        <v>45</v>
      </c>
      <c r="C38" s="40"/>
      <c r="D38" s="41"/>
      <c r="E38" s="41"/>
      <c r="F38" s="42"/>
      <c r="G38" s="42"/>
      <c r="H38" s="43">
        <f>SUM(H27:H37)</f>
        <v>1134.1099999999999</v>
      </c>
    </row>
    <row r="39" spans="1:9" ht="15.75" x14ac:dyDescent="0.25">
      <c r="A39" s="44">
        <v>2</v>
      </c>
      <c r="B39" s="285" t="s">
        <v>46</v>
      </c>
      <c r="C39" s="285"/>
      <c r="D39" s="285"/>
      <c r="E39" s="285"/>
      <c r="F39" s="285"/>
      <c r="G39" s="285"/>
      <c r="H39" s="285"/>
    </row>
    <row r="40" spans="1:9" ht="15.75" x14ac:dyDescent="0.25">
      <c r="A40" s="124" t="s">
        <v>47</v>
      </c>
      <c r="B40" s="286" t="s">
        <v>48</v>
      </c>
      <c r="C40" s="286"/>
      <c r="D40" s="286"/>
      <c r="E40" s="286"/>
      <c r="F40" s="286"/>
      <c r="G40" s="286"/>
      <c r="H40" s="286"/>
    </row>
    <row r="41" spans="1:9" ht="15.75" x14ac:dyDescent="0.25">
      <c r="A41" s="1" t="s">
        <v>4</v>
      </c>
      <c r="B41" s="8" t="s">
        <v>49</v>
      </c>
      <c r="C41" s="8"/>
      <c r="D41" s="8"/>
      <c r="E41" s="27"/>
      <c r="F41" s="28"/>
      <c r="G41" s="45">
        <v>8.3299999999999999E-2</v>
      </c>
      <c r="H41" s="28">
        <f>SUM($H$38*G41)</f>
        <v>94.471362999999997</v>
      </c>
    </row>
    <row r="42" spans="1:9" ht="15.75" x14ac:dyDescent="0.25">
      <c r="A42" s="1" t="s">
        <v>7</v>
      </c>
      <c r="B42" s="27" t="s">
        <v>50</v>
      </c>
      <c r="C42" s="27"/>
      <c r="D42" s="27"/>
      <c r="E42" s="27"/>
      <c r="F42" s="46"/>
      <c r="G42" s="47">
        <v>0.121</v>
      </c>
      <c r="H42" s="28">
        <f>SUM($H$38*G42)</f>
        <v>137.22730999999999</v>
      </c>
    </row>
    <row r="43" spans="1:9" ht="15.75" x14ac:dyDescent="0.25">
      <c r="A43" s="1" t="s">
        <v>9</v>
      </c>
      <c r="B43" s="48" t="s">
        <v>51</v>
      </c>
      <c r="C43" s="48"/>
      <c r="D43" s="27"/>
      <c r="E43" s="27"/>
      <c r="F43" s="46"/>
      <c r="G43" s="47">
        <f>G42+G41*G54</f>
        <v>0.15165439999999999</v>
      </c>
      <c r="H43" s="28">
        <f>SUM(H41:H42)*G54</f>
        <v>85.265111664000017</v>
      </c>
    </row>
    <row r="44" spans="1:9" ht="15.75" x14ac:dyDescent="0.25">
      <c r="A44" s="49"/>
      <c r="B44" s="50" t="s">
        <v>45</v>
      </c>
      <c r="C44" s="40"/>
      <c r="D44" s="41"/>
      <c r="E44" s="41"/>
      <c r="F44" s="42"/>
      <c r="G44" s="42"/>
      <c r="H44" s="43">
        <f>SUM(H41:H43)</f>
        <v>316.963784664</v>
      </c>
    </row>
    <row r="45" spans="1:9" ht="15.75" x14ac:dyDescent="0.25">
      <c r="A45" s="110" t="s">
        <v>52</v>
      </c>
      <c r="B45" s="269" t="s">
        <v>53</v>
      </c>
      <c r="C45" s="269"/>
      <c r="D45" s="269"/>
      <c r="E45" s="269"/>
      <c r="F45" s="269"/>
      <c r="G45" s="269"/>
      <c r="H45" s="269"/>
    </row>
    <row r="46" spans="1:9" ht="15.75" x14ac:dyDescent="0.25">
      <c r="A46" s="1" t="s">
        <v>4</v>
      </c>
      <c r="B46" s="51" t="s">
        <v>54</v>
      </c>
      <c r="C46" s="51"/>
      <c r="D46" s="27"/>
      <c r="E46" s="27"/>
      <c r="F46" s="28"/>
      <c r="G46" s="45">
        <v>0.2</v>
      </c>
      <c r="H46" s="28">
        <f>SUM($H$38*G46)</f>
        <v>226.822</v>
      </c>
    </row>
    <row r="47" spans="1:9" ht="15.75" x14ac:dyDescent="0.25">
      <c r="A47" s="1" t="s">
        <v>7</v>
      </c>
      <c r="B47" s="51" t="s">
        <v>55</v>
      </c>
      <c r="C47" s="51"/>
      <c r="D47" s="278" t="s">
        <v>56</v>
      </c>
      <c r="E47" s="278"/>
      <c r="F47" s="28"/>
      <c r="G47" s="52">
        <v>1.4999999999999999E-2</v>
      </c>
      <c r="H47" s="28">
        <f t="shared" ref="H47:H53" si="0">SUM($H$38*G47)</f>
        <v>17.011649999999999</v>
      </c>
      <c r="I47" s="115"/>
    </row>
    <row r="48" spans="1:9" ht="15.75" x14ac:dyDescent="0.25">
      <c r="A48" s="1" t="s">
        <v>9</v>
      </c>
      <c r="B48" s="51" t="s">
        <v>57</v>
      </c>
      <c r="C48" s="51"/>
      <c r="D48" s="278"/>
      <c r="E48" s="278"/>
      <c r="F48" s="28"/>
      <c r="G48" s="52">
        <v>0.01</v>
      </c>
      <c r="H48" s="28">
        <f t="shared" si="0"/>
        <v>11.341099999999999</v>
      </c>
    </row>
    <row r="49" spans="1:13" ht="15.75" x14ac:dyDescent="0.25">
      <c r="A49" s="1" t="s">
        <v>17</v>
      </c>
      <c r="B49" s="51" t="s">
        <v>58</v>
      </c>
      <c r="C49" s="51"/>
      <c r="D49" s="27"/>
      <c r="E49" s="27"/>
      <c r="F49" s="28"/>
      <c r="G49" s="52">
        <v>2E-3</v>
      </c>
      <c r="H49" s="28">
        <f t="shared" si="0"/>
        <v>2.2682199999999999</v>
      </c>
    </row>
    <row r="50" spans="1:13" ht="15.75" x14ac:dyDescent="0.25">
      <c r="A50" s="1" t="s">
        <v>40</v>
      </c>
      <c r="B50" s="51" t="s">
        <v>59</v>
      </c>
      <c r="C50" s="51"/>
      <c r="D50" s="27"/>
      <c r="E50" s="27"/>
      <c r="F50" s="28"/>
      <c r="G50" s="52">
        <v>2.5000000000000001E-2</v>
      </c>
      <c r="H50" s="28">
        <f>SUM($H$38*G50)</f>
        <v>28.35275</v>
      </c>
    </row>
    <row r="51" spans="1:13" ht="15.75" x14ac:dyDescent="0.25">
      <c r="A51" s="1" t="s">
        <v>42</v>
      </c>
      <c r="B51" s="51" t="s">
        <v>60</v>
      </c>
      <c r="C51" s="51"/>
      <c r="D51" s="27"/>
      <c r="E51" s="27"/>
      <c r="F51" s="28"/>
      <c r="G51" s="45">
        <v>0.08</v>
      </c>
      <c r="H51" s="28">
        <f t="shared" si="0"/>
        <v>90.728799999999993</v>
      </c>
    </row>
    <row r="52" spans="1:13" ht="15.75" x14ac:dyDescent="0.25">
      <c r="A52" s="127" t="s">
        <v>61</v>
      </c>
      <c r="B52" s="128" t="s">
        <v>62</v>
      </c>
      <c r="C52" s="128"/>
      <c r="D52" s="129"/>
      <c r="E52" s="129"/>
      <c r="F52" s="129"/>
      <c r="G52" s="130">
        <v>0.03</v>
      </c>
      <c r="H52" s="131">
        <f t="shared" si="0"/>
        <v>34.023299999999999</v>
      </c>
    </row>
    <row r="53" spans="1:13" ht="15.75" x14ac:dyDescent="0.25">
      <c r="A53" s="1" t="s">
        <v>43</v>
      </c>
      <c r="B53" s="51" t="s">
        <v>63</v>
      </c>
      <c r="C53" s="51"/>
      <c r="D53" s="27"/>
      <c r="E53" s="27"/>
      <c r="F53" s="28"/>
      <c r="G53" s="52">
        <v>6.0000000000000001E-3</v>
      </c>
      <c r="H53" s="28">
        <f t="shared" si="0"/>
        <v>6.8046599999999993</v>
      </c>
      <c r="I53" s="121">
        <f>H54+H43</f>
        <v>502.61759166400003</v>
      </c>
    </row>
    <row r="54" spans="1:13" ht="15.75" x14ac:dyDescent="0.25">
      <c r="A54" s="54"/>
      <c r="B54" s="55" t="s">
        <v>45</v>
      </c>
      <c r="C54" s="55"/>
      <c r="D54" s="40"/>
      <c r="E54" s="40"/>
      <c r="F54" s="56"/>
      <c r="G54" s="57">
        <f>SUM(G46:G53)</f>
        <v>0.3680000000000001</v>
      </c>
      <c r="H54" s="58">
        <f>SUM(H46:H53)</f>
        <v>417.35248000000001</v>
      </c>
    </row>
    <row r="55" spans="1:13" ht="15.75" x14ac:dyDescent="0.25">
      <c r="A55" s="110" t="s">
        <v>64</v>
      </c>
      <c r="B55" s="269" t="s">
        <v>65</v>
      </c>
      <c r="C55" s="269"/>
      <c r="D55" s="269"/>
      <c r="E55" s="269"/>
      <c r="F55" s="269"/>
      <c r="G55" s="269"/>
      <c r="H55" s="269"/>
    </row>
    <row r="56" spans="1:13" ht="15.75" x14ac:dyDescent="0.25">
      <c r="A56" s="6" t="s">
        <v>66</v>
      </c>
      <c r="B56" s="59"/>
      <c r="C56" s="59"/>
      <c r="D56" s="60" t="s">
        <v>67</v>
      </c>
      <c r="E56" s="60" t="s">
        <v>68</v>
      </c>
      <c r="F56" s="60" t="s">
        <v>69</v>
      </c>
      <c r="G56" s="60" t="s">
        <v>70</v>
      </c>
      <c r="H56" s="6"/>
    </row>
    <row r="57" spans="1:13" ht="15.75" x14ac:dyDescent="0.25">
      <c r="A57" s="270" t="s">
        <v>4</v>
      </c>
      <c r="B57" s="6" t="s">
        <v>71</v>
      </c>
      <c r="C57" s="6"/>
      <c r="D57" s="271"/>
      <c r="E57" s="272"/>
      <c r="F57" s="273"/>
      <c r="G57" s="274"/>
      <c r="H57" s="35">
        <f>F57*E57*D57</f>
        <v>0</v>
      </c>
    </row>
    <row r="58" spans="1:13" ht="15.75" x14ac:dyDescent="0.25">
      <c r="A58" s="270"/>
      <c r="B58" s="6" t="s">
        <v>72</v>
      </c>
      <c r="C58" s="6"/>
      <c r="D58" s="271"/>
      <c r="E58" s="271"/>
      <c r="F58" s="271"/>
      <c r="G58" s="271"/>
      <c r="H58" s="35">
        <f>H27*G57</f>
        <v>0</v>
      </c>
    </row>
    <row r="59" spans="1:13" ht="15.75" x14ac:dyDescent="0.25">
      <c r="A59" s="270"/>
      <c r="B59" s="8" t="s">
        <v>73</v>
      </c>
      <c r="C59" s="8"/>
      <c r="D59" s="8"/>
      <c r="E59" s="27"/>
      <c r="F59" s="27"/>
      <c r="G59" s="61"/>
      <c r="H59" s="35">
        <f>H57-H58</f>
        <v>0</v>
      </c>
    </row>
    <row r="60" spans="1:13" ht="15.75" x14ac:dyDescent="0.25">
      <c r="A60" s="270" t="s">
        <v>7</v>
      </c>
      <c r="B60" s="6" t="s">
        <v>74</v>
      </c>
      <c r="C60" s="6"/>
      <c r="D60" s="271">
        <v>1</v>
      </c>
      <c r="E60" s="272">
        <v>1</v>
      </c>
      <c r="F60" s="273">
        <v>145.22999999999999</v>
      </c>
      <c r="G60" s="274">
        <v>0.2</v>
      </c>
      <c r="H60" s="35">
        <f>F60*E60*D60</f>
        <v>145.22999999999999</v>
      </c>
    </row>
    <row r="61" spans="1:13" ht="15.75" x14ac:dyDescent="0.25">
      <c r="A61" s="270"/>
      <c r="B61" s="6" t="s">
        <v>72</v>
      </c>
      <c r="C61" s="6"/>
      <c r="D61" s="271"/>
      <c r="E61" s="271"/>
      <c r="F61" s="271"/>
      <c r="G61" s="271"/>
      <c r="H61" s="35">
        <f>H60*G60</f>
        <v>29.045999999999999</v>
      </c>
    </row>
    <row r="62" spans="1:13" ht="15.75" x14ac:dyDescent="0.25">
      <c r="A62" s="270"/>
      <c r="B62" s="275" t="s">
        <v>75</v>
      </c>
      <c r="C62" s="275"/>
      <c r="D62" s="275"/>
      <c r="E62" s="275"/>
      <c r="F62" s="13"/>
      <c r="G62" s="13"/>
      <c r="H62" s="35">
        <f>H60-H61</f>
        <v>116.184</v>
      </c>
    </row>
    <row r="63" spans="1:13" ht="15.75" x14ac:dyDescent="0.25">
      <c r="A63" s="62" t="s">
        <v>9</v>
      </c>
      <c r="B63" s="275" t="s">
        <v>76</v>
      </c>
      <c r="C63" s="275"/>
      <c r="D63" s="275"/>
      <c r="E63" s="275"/>
      <c r="F63" s="13"/>
      <c r="G63" s="13"/>
      <c r="H63" s="35">
        <v>0</v>
      </c>
    </row>
    <row r="64" spans="1:13" ht="15.75" x14ac:dyDescent="0.25">
      <c r="A64" s="62" t="s">
        <v>17</v>
      </c>
      <c r="B64" s="117" t="s">
        <v>177</v>
      </c>
      <c r="C64" s="117"/>
      <c r="D64" s="117"/>
      <c r="E64" s="117" t="s">
        <v>163</v>
      </c>
      <c r="F64" s="13"/>
      <c r="G64" s="13"/>
      <c r="H64" s="35">
        <v>100</v>
      </c>
      <c r="J64" s="125"/>
      <c r="K64" s="13"/>
      <c r="L64" s="13"/>
      <c r="M64" s="35">
        <v>0</v>
      </c>
    </row>
    <row r="65" spans="1:13" ht="15.75" x14ac:dyDescent="0.25">
      <c r="A65" s="62" t="s">
        <v>40</v>
      </c>
      <c r="B65" s="116" t="s">
        <v>224</v>
      </c>
      <c r="C65" s="117"/>
      <c r="D65" s="117"/>
      <c r="E65" s="117"/>
      <c r="F65" s="13"/>
      <c r="G65" s="13"/>
      <c r="H65" s="35">
        <v>3.53</v>
      </c>
      <c r="J65" s="148"/>
      <c r="K65" s="13"/>
      <c r="L65" s="13"/>
      <c r="M65" s="35"/>
    </row>
    <row r="66" spans="1:13" ht="15.75" x14ac:dyDescent="0.25">
      <c r="A66" s="62" t="s">
        <v>42</v>
      </c>
      <c r="B66" s="116" t="s">
        <v>78</v>
      </c>
      <c r="C66" s="116"/>
      <c r="D66" s="116"/>
      <c r="E66" s="118">
        <v>0</v>
      </c>
      <c r="H66" s="35">
        <f>(1/12*(H27+H28+H30))*E66</f>
        <v>0</v>
      </c>
    </row>
    <row r="67" spans="1:13" ht="15.75" x14ac:dyDescent="0.25">
      <c r="A67" s="63"/>
      <c r="B67" s="276" t="s">
        <v>45</v>
      </c>
      <c r="C67" s="276"/>
      <c r="D67" s="276"/>
      <c r="E67" s="276"/>
      <c r="F67" s="64"/>
      <c r="G67" s="64"/>
      <c r="H67" s="65">
        <f>H59+H62+H63+H64+H65+H66</f>
        <v>219.714</v>
      </c>
    </row>
    <row r="68" spans="1:13" ht="15.75" x14ac:dyDescent="0.25">
      <c r="A68" s="269" t="s">
        <v>79</v>
      </c>
      <c r="B68" s="269"/>
      <c r="C68" s="269"/>
      <c r="D68" s="269"/>
      <c r="E68" s="269"/>
      <c r="F68" s="269"/>
      <c r="G68" s="269"/>
      <c r="H68" s="269"/>
    </row>
    <row r="69" spans="1:13" ht="15.75" x14ac:dyDescent="0.25">
      <c r="A69" s="62" t="s">
        <v>47</v>
      </c>
      <c r="B69" s="8" t="s">
        <v>80</v>
      </c>
      <c r="C69" s="8"/>
      <c r="D69" s="66"/>
      <c r="E69" s="66"/>
      <c r="F69" s="13"/>
      <c r="G69" s="13"/>
      <c r="H69" s="67">
        <f>H44</f>
        <v>316.963784664</v>
      </c>
    </row>
    <row r="70" spans="1:13" ht="15.75" x14ac:dyDescent="0.25">
      <c r="A70" s="62" t="s">
        <v>52</v>
      </c>
      <c r="B70" s="8" t="s">
        <v>81</v>
      </c>
      <c r="C70" s="8"/>
      <c r="D70" s="66"/>
      <c r="E70" s="66"/>
      <c r="F70" s="13"/>
      <c r="G70" s="13"/>
      <c r="H70" s="67">
        <f>H54</f>
        <v>417.35248000000001</v>
      </c>
    </row>
    <row r="71" spans="1:13" ht="15.75" x14ac:dyDescent="0.25">
      <c r="A71" s="62" t="s">
        <v>64</v>
      </c>
      <c r="B71" s="8" t="s">
        <v>82</v>
      </c>
      <c r="C71" s="8"/>
      <c r="D71" s="66"/>
      <c r="E71" s="66"/>
      <c r="F71" s="13"/>
      <c r="G71" s="13"/>
      <c r="H71" s="67">
        <f>H67</f>
        <v>219.714</v>
      </c>
    </row>
    <row r="72" spans="1:13" ht="15.75" x14ac:dyDescent="0.25">
      <c r="A72" s="63"/>
      <c r="B72" s="126" t="s">
        <v>45</v>
      </c>
      <c r="C72" s="126"/>
      <c r="D72" s="126"/>
      <c r="E72" s="126"/>
      <c r="F72" s="64"/>
      <c r="G72" s="64"/>
      <c r="H72" s="65">
        <f>SUM(H69:H71)</f>
        <v>954.03026466400001</v>
      </c>
    </row>
    <row r="73" spans="1:13" ht="15.75" x14ac:dyDescent="0.25">
      <c r="A73" s="68">
        <v>3</v>
      </c>
      <c r="B73" s="267" t="s">
        <v>83</v>
      </c>
      <c r="C73" s="267"/>
      <c r="D73" s="267"/>
      <c r="E73" s="267"/>
      <c r="F73" s="267"/>
      <c r="G73" s="267"/>
      <c r="H73" s="267"/>
    </row>
    <row r="74" spans="1:13" ht="15.75" x14ac:dyDescent="0.25">
      <c r="A74" s="1" t="s">
        <v>4</v>
      </c>
      <c r="B74" s="48" t="s">
        <v>84</v>
      </c>
      <c r="C74" s="48"/>
      <c r="D74" s="69"/>
      <c r="E74" s="69"/>
      <c r="F74" s="69"/>
      <c r="G74" s="45">
        <v>4.1999999999999997E-3</v>
      </c>
      <c r="H74" s="28">
        <f>SUM($H$38*G74)</f>
        <v>4.7632619999999992</v>
      </c>
      <c r="I74" s="115"/>
    </row>
    <row r="75" spans="1:13" ht="15.75" x14ac:dyDescent="0.25">
      <c r="A75" s="1" t="s">
        <v>7</v>
      </c>
      <c r="B75" s="48" t="s">
        <v>85</v>
      </c>
      <c r="C75" s="48"/>
      <c r="D75" s="27"/>
      <c r="E75" s="27"/>
      <c r="F75" s="28"/>
      <c r="G75" s="45">
        <f>G74*0.08</f>
        <v>3.3599999999999998E-4</v>
      </c>
      <c r="H75" s="28">
        <f>SUM($H$38*G75)</f>
        <v>0.38106095999999995</v>
      </c>
    </row>
    <row r="76" spans="1:13" ht="15.75" x14ac:dyDescent="0.25">
      <c r="A76" s="1" t="s">
        <v>9</v>
      </c>
      <c r="B76" s="48" t="s">
        <v>86</v>
      </c>
      <c r="C76" s="48"/>
      <c r="D76" s="70"/>
      <c r="E76" s="70"/>
      <c r="F76" s="70"/>
      <c r="G76" s="71">
        <v>2.0000000000000001E-4</v>
      </c>
      <c r="H76" s="72">
        <f>(ROUND(SUM($H$38*G76),2))</f>
        <v>0.23</v>
      </c>
    </row>
    <row r="77" spans="1:13" ht="15.75" x14ac:dyDescent="0.25">
      <c r="A77" s="1" t="s">
        <v>17</v>
      </c>
      <c r="B77" s="27" t="s">
        <v>87</v>
      </c>
      <c r="C77" s="27"/>
      <c r="D77" s="69"/>
      <c r="E77" s="69"/>
      <c r="F77" s="69"/>
      <c r="G77" s="45">
        <v>1.9400000000000001E-2</v>
      </c>
      <c r="H77" s="28">
        <f>SUM($H$38*G77)</f>
        <v>22.001733999999999</v>
      </c>
      <c r="I77" s="115"/>
    </row>
    <row r="78" spans="1:13" ht="15.75" x14ac:dyDescent="0.25">
      <c r="A78" s="1" t="s">
        <v>40</v>
      </c>
      <c r="B78" s="48" t="s">
        <v>226</v>
      </c>
      <c r="C78" s="48"/>
      <c r="D78" s="27"/>
      <c r="E78" s="27"/>
      <c r="F78" s="28"/>
      <c r="G78" s="45">
        <f>G77*G54</f>
        <v>7.1392000000000027E-3</v>
      </c>
      <c r="H78" s="28">
        <f>SUM($H$38*G78)</f>
        <v>8.0966381120000026</v>
      </c>
    </row>
    <row r="79" spans="1:13" ht="15.75" x14ac:dyDescent="0.25">
      <c r="A79" s="1" t="s">
        <v>42</v>
      </c>
      <c r="B79" s="27" t="s">
        <v>89</v>
      </c>
      <c r="C79" s="27"/>
      <c r="D79" s="70"/>
      <c r="E79" s="70"/>
      <c r="F79" s="70"/>
      <c r="G79" s="52">
        <v>1E-4</v>
      </c>
      <c r="H79" s="28">
        <f>SUM($H$38*G79)</f>
        <v>0.113411</v>
      </c>
    </row>
    <row r="80" spans="1:13" ht="15.75" x14ac:dyDescent="0.25">
      <c r="A80" s="73"/>
      <c r="B80" s="55" t="s">
        <v>45</v>
      </c>
      <c r="C80" s="55"/>
      <c r="D80" s="41"/>
      <c r="E80" s="41"/>
      <c r="F80" s="74"/>
      <c r="G80" s="57">
        <f>SUM(G74:G79)</f>
        <v>3.1375200000000006E-2</v>
      </c>
      <c r="H80" s="58">
        <f>SUM(H74:H79)</f>
        <v>35.586106072</v>
      </c>
    </row>
    <row r="81" spans="1:9" ht="15.75" x14ac:dyDescent="0.25">
      <c r="A81" s="44">
        <v>4</v>
      </c>
      <c r="B81" s="277" t="s">
        <v>90</v>
      </c>
      <c r="C81" s="277"/>
      <c r="D81" s="277"/>
      <c r="E81" s="277"/>
      <c r="F81" s="277"/>
      <c r="G81" s="277"/>
      <c r="H81" s="277"/>
    </row>
    <row r="82" spans="1:9" ht="15.75" x14ac:dyDescent="0.25">
      <c r="A82" s="75" t="s">
        <v>91</v>
      </c>
      <c r="B82" s="269" t="s">
        <v>237</v>
      </c>
      <c r="C82" s="269"/>
      <c r="D82" s="269"/>
      <c r="E82" s="269"/>
      <c r="F82" s="269"/>
      <c r="G82" s="269"/>
      <c r="H82" s="269"/>
    </row>
    <row r="83" spans="1:9" ht="15.75" x14ac:dyDescent="0.25">
      <c r="A83" s="12" t="s">
        <v>4</v>
      </c>
      <c r="B83" s="51" t="s">
        <v>227</v>
      </c>
      <c r="C83" s="51"/>
      <c r="D83" s="53"/>
      <c r="E83" s="53"/>
      <c r="F83" s="53"/>
      <c r="G83" s="45">
        <f>(G41+G42)/12</f>
        <v>1.7024999999999998E-2</v>
      </c>
      <c r="H83" s="28"/>
    </row>
    <row r="84" spans="1:9" ht="15.75" x14ac:dyDescent="0.25">
      <c r="A84" s="123" t="s">
        <v>7</v>
      </c>
      <c r="B84" s="51" t="s">
        <v>228</v>
      </c>
      <c r="C84" s="268" t="s">
        <v>95</v>
      </c>
      <c r="D84" s="76">
        <v>1</v>
      </c>
      <c r="E84" s="268" t="s">
        <v>96</v>
      </c>
      <c r="F84" s="77">
        <v>1</v>
      </c>
      <c r="G84" s="45">
        <f t="shared" ref="G84:G89" si="1">D84/360*F84</f>
        <v>2.7777777777777779E-3</v>
      </c>
      <c r="H84" s="28">
        <f t="shared" ref="H84:H88" si="2">SUM(H$38*G84)</f>
        <v>3.1503055555555552</v>
      </c>
    </row>
    <row r="85" spans="1:9" ht="15.75" x14ac:dyDescent="0.25">
      <c r="A85" s="12" t="s">
        <v>9</v>
      </c>
      <c r="B85" s="51" t="s">
        <v>229</v>
      </c>
      <c r="C85" s="268"/>
      <c r="D85" s="76">
        <v>20</v>
      </c>
      <c r="E85" s="268"/>
      <c r="F85" s="77">
        <v>1.4999999999999999E-2</v>
      </c>
      <c r="G85" s="45">
        <f t="shared" si="1"/>
        <v>8.3333333333333328E-4</v>
      </c>
      <c r="H85" s="28">
        <f t="shared" si="2"/>
        <v>0.94509166666666655</v>
      </c>
    </row>
    <row r="86" spans="1:9" ht="15.75" x14ac:dyDescent="0.25">
      <c r="A86" s="12" t="s">
        <v>17</v>
      </c>
      <c r="B86" s="51" t="s">
        <v>230</v>
      </c>
      <c r="C86" s="268"/>
      <c r="D86" s="76">
        <v>15</v>
      </c>
      <c r="E86" s="268"/>
      <c r="F86" s="78">
        <v>1.3299999999999999E-2</v>
      </c>
      <c r="G86" s="45">
        <f t="shared" si="1"/>
        <v>5.5416666666666657E-4</v>
      </c>
      <c r="H86" s="28">
        <f t="shared" si="2"/>
        <v>0.62848595833333321</v>
      </c>
    </row>
    <row r="87" spans="1:9" ht="15.75" x14ac:dyDescent="0.25">
      <c r="A87" s="12" t="s">
        <v>40</v>
      </c>
      <c r="B87" s="51" t="s">
        <v>231</v>
      </c>
      <c r="C87" s="268"/>
      <c r="D87" s="76">
        <v>180</v>
      </c>
      <c r="E87" s="268"/>
      <c r="F87" s="77">
        <v>1.8599999999999998E-2</v>
      </c>
      <c r="G87" s="45">
        <f t="shared" si="1"/>
        <v>9.2999999999999992E-3</v>
      </c>
      <c r="H87" s="28">
        <f t="shared" si="2"/>
        <v>10.547222999999999</v>
      </c>
    </row>
    <row r="88" spans="1:9" ht="15.75" x14ac:dyDescent="0.25">
      <c r="A88" s="12" t="s">
        <v>42</v>
      </c>
      <c r="B88" s="51" t="s">
        <v>232</v>
      </c>
      <c r="C88" s="268"/>
      <c r="D88" s="79">
        <v>5</v>
      </c>
      <c r="E88" s="268"/>
      <c r="F88" s="80">
        <v>1</v>
      </c>
      <c r="G88" s="45">
        <f t="shared" si="1"/>
        <v>1.3888888888888888E-2</v>
      </c>
      <c r="H88" s="81">
        <f t="shared" si="2"/>
        <v>15.751527777777776</v>
      </c>
    </row>
    <row r="89" spans="1:9" ht="15.75" x14ac:dyDescent="0.25">
      <c r="A89" s="12" t="s">
        <v>61</v>
      </c>
      <c r="B89" s="51" t="s">
        <v>101</v>
      </c>
      <c r="C89" s="268"/>
      <c r="D89" s="79"/>
      <c r="E89" s="268"/>
      <c r="F89" s="82"/>
      <c r="G89" s="45">
        <f t="shared" si="1"/>
        <v>0</v>
      </c>
      <c r="H89" s="81"/>
    </row>
    <row r="90" spans="1:9" ht="15.75" x14ac:dyDescent="0.25">
      <c r="A90" s="19"/>
      <c r="B90" s="6" t="s">
        <v>102</v>
      </c>
      <c r="C90" s="6"/>
      <c r="D90" s="27"/>
      <c r="E90" s="27"/>
      <c r="F90" s="28"/>
      <c r="G90" s="45">
        <f>SUM(G83:G89)</f>
        <v>4.4379166666666664E-2</v>
      </c>
      <c r="H90" s="28">
        <f>SUM(H83:H89)</f>
        <v>31.02263395833333</v>
      </c>
      <c r="I90" s="115">
        <f>SUM(H84:H90)*G54</f>
        <v>22.832658593333338</v>
      </c>
    </row>
    <row r="91" spans="1:9" ht="15.75" x14ac:dyDescent="0.25">
      <c r="A91" s="12" t="s">
        <v>42</v>
      </c>
      <c r="B91" s="51" t="s">
        <v>103</v>
      </c>
      <c r="C91" s="51"/>
      <c r="D91" s="27"/>
      <c r="E91" s="27"/>
      <c r="F91" s="28"/>
      <c r="G91" s="45">
        <f>G90*G54</f>
        <v>1.6331533333333335E-2</v>
      </c>
      <c r="H91" s="28">
        <f>SUM(H90*G54)</f>
        <v>11.416329296666669</v>
      </c>
    </row>
    <row r="92" spans="1:9" ht="15.75" x14ac:dyDescent="0.25">
      <c r="A92" s="73"/>
      <c r="B92" s="55" t="s">
        <v>45</v>
      </c>
      <c r="C92" s="55"/>
      <c r="D92" s="41"/>
      <c r="E92" s="41"/>
      <c r="F92" s="74"/>
      <c r="G92" s="57">
        <f>G91+G90</f>
        <v>6.0710699999999999E-2</v>
      </c>
      <c r="H92" s="58">
        <f>SUM(H90:H91)</f>
        <v>42.438963254999997</v>
      </c>
    </row>
    <row r="93" spans="1:9" ht="15.75" x14ac:dyDescent="0.25">
      <c r="A93" s="75" t="s">
        <v>104</v>
      </c>
      <c r="B93" s="269" t="s">
        <v>233</v>
      </c>
      <c r="C93" s="269"/>
      <c r="D93" s="269"/>
      <c r="E93" s="269"/>
      <c r="F93" s="269"/>
      <c r="G93" s="269"/>
      <c r="H93" s="269"/>
    </row>
    <row r="94" spans="1:9" ht="15.75" x14ac:dyDescent="0.25">
      <c r="A94" s="12" t="s">
        <v>4</v>
      </c>
      <c r="B94" s="51" t="s">
        <v>235</v>
      </c>
      <c r="C94" s="51"/>
      <c r="D94" s="53"/>
      <c r="E94" s="53"/>
      <c r="F94" s="53"/>
      <c r="G94" s="52">
        <v>0</v>
      </c>
      <c r="H94" s="28">
        <f>SUM(H$38*G94)</f>
        <v>0</v>
      </c>
    </row>
    <row r="95" spans="1:9" ht="15.75" x14ac:dyDescent="0.25">
      <c r="A95" s="12" t="s">
        <v>7</v>
      </c>
      <c r="B95" s="51" t="s">
        <v>107</v>
      </c>
      <c r="C95" s="51"/>
      <c r="D95" s="53"/>
      <c r="E95" s="53"/>
      <c r="F95" s="53"/>
      <c r="G95" s="45">
        <f>G94*G54</f>
        <v>0</v>
      </c>
      <c r="H95" s="28">
        <f>SUM($H$38*G95)</f>
        <v>0</v>
      </c>
    </row>
    <row r="96" spans="1:9" ht="15.75" x14ac:dyDescent="0.25">
      <c r="A96" s="73"/>
      <c r="B96" s="55" t="s">
        <v>45</v>
      </c>
      <c r="C96" s="55"/>
      <c r="D96" s="41"/>
      <c r="E96" s="41"/>
      <c r="F96" s="74"/>
      <c r="G96" s="57">
        <f>G95+G94</f>
        <v>0</v>
      </c>
      <c r="H96" s="58">
        <f>SUM(H94:H95)</f>
        <v>0</v>
      </c>
    </row>
    <row r="97" spans="1:10" ht="15.75" x14ac:dyDescent="0.25">
      <c r="A97" s="269" t="s">
        <v>108</v>
      </c>
      <c r="B97" s="269"/>
      <c r="C97" s="269"/>
      <c r="D97" s="269"/>
      <c r="E97" s="269"/>
      <c r="F97" s="269"/>
      <c r="G97" s="269"/>
      <c r="H97" s="269"/>
    </row>
    <row r="98" spans="1:10" ht="15.75" x14ac:dyDescent="0.25">
      <c r="A98" s="12" t="s">
        <v>91</v>
      </c>
      <c r="B98" s="51" t="s">
        <v>236</v>
      </c>
      <c r="C98" s="51"/>
      <c r="D98" s="53"/>
      <c r="E98" s="53"/>
      <c r="F98" s="53"/>
      <c r="G98" s="45">
        <f>G92</f>
        <v>6.0710699999999999E-2</v>
      </c>
      <c r="H98" s="28">
        <f>H92</f>
        <v>42.438963254999997</v>
      </c>
    </row>
    <row r="99" spans="1:10" ht="15.75" x14ac:dyDescent="0.25">
      <c r="A99" s="12" t="s">
        <v>104</v>
      </c>
      <c r="B99" s="51" t="s">
        <v>234</v>
      </c>
      <c r="C99" s="51"/>
      <c r="D99" s="53"/>
      <c r="E99" s="53"/>
      <c r="F99" s="53"/>
      <c r="G99" s="45">
        <f>G96</f>
        <v>0</v>
      </c>
      <c r="H99" s="28">
        <f>H96</f>
        <v>0</v>
      </c>
    </row>
    <row r="100" spans="1:10" ht="15.75" x14ac:dyDescent="0.25">
      <c r="A100" s="73"/>
      <c r="B100" s="55" t="s">
        <v>45</v>
      </c>
      <c r="C100" s="55"/>
      <c r="D100" s="41"/>
      <c r="E100" s="41"/>
      <c r="F100" s="74"/>
      <c r="G100" s="57">
        <f>G96+G92</f>
        <v>6.0710699999999999E-2</v>
      </c>
      <c r="H100" s="58">
        <f>SUM(H98:H99)</f>
        <v>42.438963254999997</v>
      </c>
    </row>
    <row r="101" spans="1:10" ht="15.75" x14ac:dyDescent="0.25">
      <c r="A101" s="83">
        <v>5</v>
      </c>
      <c r="B101" s="269" t="s">
        <v>110</v>
      </c>
      <c r="C101" s="269"/>
      <c r="D101" s="269"/>
      <c r="E101" s="269"/>
      <c r="F101" s="269"/>
      <c r="G101" s="269"/>
      <c r="H101" s="269"/>
    </row>
    <row r="102" spans="1:10" ht="15.75" x14ac:dyDescent="0.25">
      <c r="A102" s="12" t="s">
        <v>4</v>
      </c>
      <c r="B102" s="13" t="s">
        <v>111</v>
      </c>
      <c r="C102" s="13"/>
      <c r="D102" s="84"/>
      <c r="E102" s="27"/>
      <c r="F102" s="85"/>
      <c r="G102" s="85"/>
      <c r="H102" s="85">
        <v>23.6</v>
      </c>
    </row>
    <row r="103" spans="1:10" ht="15.75" x14ac:dyDescent="0.25">
      <c r="A103" s="12" t="s">
        <v>7</v>
      </c>
      <c r="B103" s="13" t="s">
        <v>112</v>
      </c>
      <c r="C103" s="13"/>
      <c r="D103" s="84"/>
      <c r="E103" s="27"/>
      <c r="F103" s="85"/>
      <c r="G103" s="85"/>
      <c r="H103" s="85"/>
    </row>
    <row r="104" spans="1:10" ht="15.75" x14ac:dyDescent="0.25">
      <c r="A104" s="12" t="s">
        <v>9</v>
      </c>
      <c r="B104" s="13" t="s">
        <v>113</v>
      </c>
      <c r="C104" s="13"/>
      <c r="D104" s="84"/>
      <c r="E104" s="27"/>
      <c r="F104" s="85"/>
      <c r="G104" s="85"/>
      <c r="H104" s="85">
        <v>5.47</v>
      </c>
    </row>
    <row r="105" spans="1:10" ht="15.75" x14ac:dyDescent="0.25">
      <c r="A105" s="12" t="s">
        <v>17</v>
      </c>
      <c r="B105" s="13" t="s">
        <v>164</v>
      </c>
      <c r="C105" s="13"/>
      <c r="D105" s="84"/>
      <c r="E105" s="27"/>
      <c r="F105" s="85"/>
      <c r="G105" s="85"/>
      <c r="H105" s="85">
        <v>37.75</v>
      </c>
    </row>
    <row r="106" spans="1:10" ht="15.75" x14ac:dyDescent="0.25">
      <c r="A106" s="12" t="s">
        <v>40</v>
      </c>
      <c r="B106" s="13" t="s">
        <v>101</v>
      </c>
      <c r="C106" s="13"/>
      <c r="D106" s="84"/>
      <c r="E106" s="27"/>
      <c r="F106" s="85"/>
      <c r="G106" s="85"/>
      <c r="H106" s="85">
        <v>0</v>
      </c>
    </row>
    <row r="107" spans="1:10" ht="15.75" x14ac:dyDescent="0.25">
      <c r="A107" s="73"/>
      <c r="B107" s="55" t="s">
        <v>45</v>
      </c>
      <c r="C107" s="55"/>
      <c r="D107" s="41"/>
      <c r="E107" s="41"/>
      <c r="F107" s="74"/>
      <c r="G107" s="57"/>
      <c r="H107" s="58">
        <f>SUM(H102:H106)</f>
        <v>66.819999999999993</v>
      </c>
    </row>
    <row r="108" spans="1:10" ht="15.75" x14ac:dyDescent="0.25">
      <c r="A108" s="83">
        <v>6</v>
      </c>
      <c r="B108" s="269" t="s">
        <v>114</v>
      </c>
      <c r="C108" s="269"/>
      <c r="D108" s="269"/>
      <c r="E108" s="269"/>
      <c r="F108" s="269"/>
      <c r="G108" s="269"/>
      <c r="H108" s="269"/>
    </row>
    <row r="109" spans="1:10" ht="15.75" x14ac:dyDescent="0.25">
      <c r="A109" s="86" t="s">
        <v>4</v>
      </c>
      <c r="B109" s="27"/>
      <c r="C109" s="27"/>
      <c r="D109" s="27"/>
      <c r="E109" s="27"/>
      <c r="F109" s="27" t="s">
        <v>115</v>
      </c>
      <c r="G109" s="52">
        <v>0.01</v>
      </c>
      <c r="H109" s="28">
        <f>G109*H124</f>
        <v>22.329853339910002</v>
      </c>
    </row>
    <row r="110" spans="1:10" ht="15.75" x14ac:dyDescent="0.25">
      <c r="A110" s="86" t="s">
        <v>7</v>
      </c>
      <c r="B110" s="27"/>
      <c r="C110" s="27"/>
      <c r="D110" s="27"/>
      <c r="E110" s="27"/>
      <c r="F110" s="12" t="s">
        <v>116</v>
      </c>
      <c r="G110" s="52">
        <v>0.01</v>
      </c>
      <c r="H110" s="28">
        <f>SUM(H109+H124)*$G$110</f>
        <v>22.553151873309101</v>
      </c>
    </row>
    <row r="111" spans="1:10" ht="15.75" x14ac:dyDescent="0.25">
      <c r="A111" s="86" t="s">
        <v>9</v>
      </c>
      <c r="B111" s="27"/>
      <c r="C111" s="27"/>
      <c r="D111" s="27"/>
      <c r="E111" s="27"/>
      <c r="F111" s="12" t="s">
        <v>117</v>
      </c>
      <c r="G111" s="87">
        <f>SUM(G112:G116)</f>
        <v>8.6499999999999994E-2</v>
      </c>
      <c r="H111" s="28">
        <f>H113+H114+H116</f>
        <v>215.69306112880673</v>
      </c>
      <c r="I111" s="115">
        <f>H111+H110+H109</f>
        <v>260.57606634202585</v>
      </c>
    </row>
    <row r="112" spans="1:10" ht="15.75" x14ac:dyDescent="0.25">
      <c r="A112" s="86" t="s">
        <v>118</v>
      </c>
      <c r="B112" s="27"/>
      <c r="C112" s="27"/>
      <c r="D112" s="27"/>
      <c r="E112" s="27"/>
      <c r="F112" s="88" t="s">
        <v>119</v>
      </c>
      <c r="G112" s="45">
        <v>0</v>
      </c>
      <c r="H112" s="28"/>
      <c r="J112" s="120"/>
    </row>
    <row r="113" spans="1:10" ht="15.75" x14ac:dyDescent="0.25">
      <c r="A113" s="86" t="s">
        <v>120</v>
      </c>
      <c r="B113" s="27"/>
      <c r="C113" s="27"/>
      <c r="D113" s="27"/>
      <c r="E113" s="27"/>
      <c r="F113" s="88" t="s">
        <v>121</v>
      </c>
      <c r="G113" s="52">
        <v>6.4999999999999997E-3</v>
      </c>
      <c r="H113" s="28">
        <f>((H109+H110+H124)/0.9135)*G113</f>
        <v>16.208149102164665</v>
      </c>
    </row>
    <row r="114" spans="1:10" ht="15.75" x14ac:dyDescent="0.25">
      <c r="A114" s="86" t="s">
        <v>122</v>
      </c>
      <c r="B114" s="27"/>
      <c r="C114" s="27"/>
      <c r="D114" s="27"/>
      <c r="E114" s="27"/>
      <c r="F114" s="88" t="s">
        <v>123</v>
      </c>
      <c r="G114" s="52">
        <v>0.03</v>
      </c>
      <c r="H114" s="28">
        <f>((H109+H110+H124)/0.9135)*G114</f>
        <v>74.80684200999076</v>
      </c>
    </row>
    <row r="115" spans="1:10" ht="15.75" x14ac:dyDescent="0.25">
      <c r="A115" s="86" t="s">
        <v>124</v>
      </c>
      <c r="B115" s="27"/>
      <c r="C115" s="27"/>
      <c r="D115" s="27"/>
      <c r="E115" s="27"/>
      <c r="F115" s="88" t="s">
        <v>125</v>
      </c>
      <c r="G115" s="45">
        <v>0</v>
      </c>
      <c r="H115" s="28"/>
    </row>
    <row r="116" spans="1:10" ht="15.75" x14ac:dyDescent="0.25">
      <c r="A116" s="86" t="s">
        <v>126</v>
      </c>
      <c r="B116" s="27"/>
      <c r="C116" s="27"/>
      <c r="D116" s="27"/>
      <c r="E116" s="27"/>
      <c r="F116" s="88" t="s">
        <v>127</v>
      </c>
      <c r="G116" s="45">
        <v>0.05</v>
      </c>
      <c r="H116" s="28">
        <f>((H109+H110+H124)/0.9135)*G116</f>
        <v>124.67807001665129</v>
      </c>
    </row>
    <row r="117" spans="1:10" ht="15.75" x14ac:dyDescent="0.25">
      <c r="A117" s="73"/>
      <c r="B117" s="55" t="s">
        <v>45</v>
      </c>
      <c r="C117" s="55"/>
      <c r="D117" s="41"/>
      <c r="E117" s="41"/>
      <c r="F117" s="74"/>
      <c r="G117" s="57">
        <f>G111+G110+G109</f>
        <v>0.10649999999999998</v>
      </c>
      <c r="H117" s="58">
        <f>H109+H110+H111</f>
        <v>260.57606634202585</v>
      </c>
    </row>
    <row r="118" spans="1:10" ht="15.75" x14ac:dyDescent="0.25">
      <c r="A118" s="89"/>
      <c r="B118" s="267" t="s">
        <v>128</v>
      </c>
      <c r="C118" s="267"/>
      <c r="D118" s="267"/>
      <c r="E118" s="267"/>
      <c r="F118" s="267"/>
      <c r="G118" s="267"/>
      <c r="H118" s="267"/>
    </row>
    <row r="119" spans="1:10" ht="15.75" x14ac:dyDescent="0.25">
      <c r="A119" s="90" t="s">
        <v>4</v>
      </c>
      <c r="B119" s="27" t="s">
        <v>30</v>
      </c>
      <c r="C119" s="27"/>
      <c r="D119" s="27"/>
      <c r="E119" s="27"/>
      <c r="F119" s="28"/>
      <c r="G119" s="45">
        <f>SUM(H119/H$126)</f>
        <v>0.45481534958334474</v>
      </c>
      <c r="H119" s="28">
        <f>H38</f>
        <v>1134.1099999999999</v>
      </c>
    </row>
    <row r="120" spans="1:10" ht="15.75" x14ac:dyDescent="0.25">
      <c r="A120" s="90" t="s">
        <v>7</v>
      </c>
      <c r="B120" s="27" t="s">
        <v>129</v>
      </c>
      <c r="C120" s="27"/>
      <c r="D120" s="27"/>
      <c r="E120" s="27"/>
      <c r="F120" s="28"/>
      <c r="G120" s="45">
        <f>SUM(H120/H$126)</f>
        <v>0.38259746262377381</v>
      </c>
      <c r="H120" s="28">
        <f>H72</f>
        <v>954.03026466400001</v>
      </c>
    </row>
    <row r="121" spans="1:10" ht="15.75" x14ac:dyDescent="0.25">
      <c r="A121" s="90" t="s">
        <v>9</v>
      </c>
      <c r="B121" s="27" t="s">
        <v>130</v>
      </c>
      <c r="C121" s="27"/>
      <c r="D121" s="27"/>
      <c r="E121" s="27"/>
      <c r="F121" s="28"/>
      <c r="G121" s="45">
        <f>SUM(H121/H$126)</f>
        <v>1.427119703860002E-2</v>
      </c>
      <c r="H121" s="28">
        <f>H80</f>
        <v>35.586106072</v>
      </c>
      <c r="J121" s="115">
        <f>H109+H110+H124</f>
        <v>2277.868339204219</v>
      </c>
    </row>
    <row r="122" spans="1:10" ht="15.75" x14ac:dyDescent="0.25">
      <c r="A122" s="90" t="s">
        <v>17</v>
      </c>
      <c r="B122" s="27" t="s">
        <v>131</v>
      </c>
      <c r="C122" s="27"/>
      <c r="D122" s="27"/>
      <c r="E122" s="27"/>
      <c r="F122" s="28"/>
      <c r="G122" s="45">
        <f>SUM(H122/H$126)</f>
        <v>1.7019417789083554E-2</v>
      </c>
      <c r="H122" s="28">
        <f>H100</f>
        <v>42.438963254999997</v>
      </c>
      <c r="J122" s="115">
        <f>J121/0.9135</f>
        <v>2493.5614003330256</v>
      </c>
    </row>
    <row r="123" spans="1:10" ht="15.75" x14ac:dyDescent="0.25">
      <c r="A123" s="90" t="s">
        <v>40</v>
      </c>
      <c r="B123" s="27" t="s">
        <v>110</v>
      </c>
      <c r="C123" s="27"/>
      <c r="D123" s="27"/>
      <c r="E123" s="27"/>
      <c r="F123" s="28"/>
      <c r="G123" s="45">
        <f>H123/H126</f>
        <v>2.6797014098419992E-2</v>
      </c>
      <c r="H123" s="28">
        <f>H107</f>
        <v>66.819999999999993</v>
      </c>
    </row>
    <row r="124" spans="1:10" ht="15.75" x14ac:dyDescent="0.25">
      <c r="A124" s="90"/>
      <c r="B124" s="27" t="s">
        <v>132</v>
      </c>
      <c r="C124" s="27"/>
      <c r="D124" s="27"/>
      <c r="E124" s="27"/>
      <c r="F124" s="28"/>
      <c r="G124" s="45">
        <f>SUM(G119:G123)</f>
        <v>0.89550044113322202</v>
      </c>
      <c r="H124" s="28">
        <f>SUM(H119:H123)</f>
        <v>2232.9853339910001</v>
      </c>
      <c r="I124" s="115"/>
    </row>
    <row r="125" spans="1:10" ht="15.75" x14ac:dyDescent="0.25">
      <c r="A125" s="90" t="s">
        <v>40</v>
      </c>
      <c r="B125" s="27" t="s">
        <v>133</v>
      </c>
      <c r="C125" s="27"/>
      <c r="D125" s="27"/>
      <c r="E125" s="27"/>
      <c r="F125" s="28"/>
      <c r="G125" s="45">
        <f>SUM(H125/H$126)</f>
        <v>0.10449955886677777</v>
      </c>
      <c r="H125" s="28">
        <f>H117</f>
        <v>260.57606634202585</v>
      </c>
      <c r="I125" s="115">
        <f>(H109+H110+H124)/0.9135</f>
        <v>2493.5614003330256</v>
      </c>
    </row>
    <row r="126" spans="1:10" ht="15.75" x14ac:dyDescent="0.25">
      <c r="A126" s="55"/>
      <c r="B126" s="55" t="s">
        <v>134</v>
      </c>
      <c r="C126" s="55"/>
      <c r="D126" s="55"/>
      <c r="E126" s="55"/>
      <c r="F126" s="55"/>
      <c r="G126" s="55">
        <f>SUM(G124+G125)</f>
        <v>0.99999999999999978</v>
      </c>
      <c r="H126" s="91">
        <f>H125+H124</f>
        <v>2493.5614003330261</v>
      </c>
    </row>
    <row r="127" spans="1:10" ht="15.75" x14ac:dyDescent="0.25">
      <c r="A127" s="92"/>
      <c r="B127" s="267" t="s">
        <v>135</v>
      </c>
      <c r="C127" s="267"/>
      <c r="D127" s="267"/>
      <c r="E127" s="267"/>
      <c r="F127" s="267"/>
      <c r="G127" s="267"/>
      <c r="H127" s="267"/>
    </row>
    <row r="128" spans="1:10" ht="47.25" x14ac:dyDescent="0.25">
      <c r="A128" s="27"/>
      <c r="B128" s="16" t="s">
        <v>20</v>
      </c>
      <c r="C128" s="16"/>
      <c r="D128" s="93" t="s">
        <v>136</v>
      </c>
      <c r="E128" s="93" t="s">
        <v>137</v>
      </c>
      <c r="F128" s="94" t="s">
        <v>138</v>
      </c>
      <c r="G128" s="93" t="s">
        <v>139</v>
      </c>
      <c r="H128" s="95" t="s">
        <v>140</v>
      </c>
    </row>
    <row r="129" spans="1:8" ht="15.75" x14ac:dyDescent="0.25">
      <c r="A129" s="27"/>
      <c r="B129" s="3" t="s">
        <v>141</v>
      </c>
      <c r="C129" s="3"/>
      <c r="D129" s="3" t="s">
        <v>142</v>
      </c>
      <c r="E129" s="96" t="s">
        <v>143</v>
      </c>
      <c r="F129" s="97" t="s">
        <v>144</v>
      </c>
      <c r="G129" s="3" t="s">
        <v>145</v>
      </c>
      <c r="H129" s="98" t="s">
        <v>146</v>
      </c>
    </row>
    <row r="130" spans="1:8" ht="15.75" x14ac:dyDescent="0.25">
      <c r="A130" s="1"/>
      <c r="B130" s="14"/>
      <c r="C130" s="14"/>
      <c r="D130" s="99">
        <f>SUM(H126)</f>
        <v>2493.5614003330261</v>
      </c>
      <c r="E130" s="100">
        <v>1</v>
      </c>
      <c r="F130" s="99">
        <f>D130*E130</f>
        <v>2493.5614003330261</v>
      </c>
      <c r="G130" s="101">
        <v>1</v>
      </c>
      <c r="H130" s="28">
        <f>E130*D130</f>
        <v>2493.5614003330261</v>
      </c>
    </row>
    <row r="131" spans="1:8" ht="15.75" x14ac:dyDescent="0.25">
      <c r="A131" s="27"/>
      <c r="B131" s="102" t="s">
        <v>147</v>
      </c>
      <c r="C131" s="102"/>
      <c r="D131" s="103"/>
      <c r="E131" s="103"/>
      <c r="F131" s="103"/>
      <c r="G131" s="103"/>
      <c r="H131" s="104">
        <f>SUM(H130)</f>
        <v>2493.5614003330261</v>
      </c>
    </row>
    <row r="132" spans="1:8" ht="15.75" x14ac:dyDescent="0.25">
      <c r="A132" s="27"/>
      <c r="B132" s="16"/>
      <c r="C132" s="16"/>
      <c r="D132" s="105"/>
      <c r="E132" s="16"/>
      <c r="F132" s="16"/>
      <c r="G132" s="16"/>
      <c r="H132" s="16"/>
    </row>
    <row r="133" spans="1:8" ht="15.75" x14ac:dyDescent="0.25">
      <c r="A133" s="83"/>
      <c r="B133" s="267" t="s">
        <v>148</v>
      </c>
      <c r="C133" s="267"/>
      <c r="D133" s="267"/>
      <c r="E133" s="267"/>
      <c r="F133" s="267"/>
      <c r="G133" s="267"/>
      <c r="H133" s="267"/>
    </row>
    <row r="134" spans="1:8" ht="15.75" x14ac:dyDescent="0.25">
      <c r="A134" s="106"/>
      <c r="B134" s="106" t="s">
        <v>149</v>
      </c>
      <c r="C134" s="106"/>
      <c r="D134" s="106"/>
      <c r="E134" s="16"/>
      <c r="F134" s="16"/>
      <c r="G134" s="16"/>
      <c r="H134" s="107" t="s">
        <v>150</v>
      </c>
    </row>
    <row r="135" spans="1:8" ht="15.75" x14ac:dyDescent="0.25">
      <c r="A135" s="108" t="s">
        <v>4</v>
      </c>
      <c r="B135" s="109" t="s">
        <v>151</v>
      </c>
      <c r="C135" s="109"/>
      <c r="D135" s="109"/>
      <c r="E135" s="13"/>
      <c r="F135" s="13"/>
      <c r="G135" s="13"/>
      <c r="H135" s="107">
        <f>D130</f>
        <v>2493.5614003330261</v>
      </c>
    </row>
    <row r="136" spans="1:8" ht="15.75" x14ac:dyDescent="0.25">
      <c r="A136" s="108" t="s">
        <v>7</v>
      </c>
      <c r="B136" s="109" t="s">
        <v>152</v>
      </c>
      <c r="C136" s="109"/>
      <c r="D136" s="109"/>
      <c r="E136" s="13"/>
      <c r="F136" s="13"/>
      <c r="G136" s="13"/>
      <c r="H136" s="107">
        <f>H131</f>
        <v>2493.5614003330261</v>
      </c>
    </row>
    <row r="137" spans="1:8" ht="15.75" x14ac:dyDescent="0.25">
      <c r="A137" s="108" t="s">
        <v>17</v>
      </c>
      <c r="B137" s="7" t="s">
        <v>153</v>
      </c>
      <c r="C137" s="7"/>
      <c r="D137" s="109"/>
      <c r="E137" s="13"/>
      <c r="F137" s="13"/>
      <c r="G137" s="100">
        <v>12</v>
      </c>
      <c r="H137" s="107">
        <f>SUM(H136*G137)</f>
        <v>29922.736803996311</v>
      </c>
    </row>
    <row r="138" spans="1:8" ht="15.75" x14ac:dyDescent="0.25">
      <c r="A138" s="6"/>
      <c r="B138" s="6"/>
      <c r="C138" s="6"/>
      <c r="D138" s="6"/>
      <c r="E138" s="6"/>
      <c r="F138" s="6"/>
      <c r="G138" s="6"/>
      <c r="H138" s="6"/>
    </row>
    <row r="139" spans="1:8" x14ac:dyDescent="0.25">
      <c r="A139" s="149" t="s">
        <v>204</v>
      </c>
      <c r="B139" s="149"/>
    </row>
    <row r="140" spans="1:8" x14ac:dyDescent="0.25">
      <c r="A140" s="149" t="s">
        <v>205</v>
      </c>
      <c r="B140" s="149"/>
    </row>
    <row r="141" spans="1:8" x14ac:dyDescent="0.25">
      <c r="A141" s="149" t="s">
        <v>206</v>
      </c>
      <c r="B141" s="149"/>
    </row>
    <row r="142" spans="1:8" x14ac:dyDescent="0.25">
      <c r="A142" s="149"/>
      <c r="B142" s="149"/>
    </row>
    <row r="143" spans="1:8" x14ac:dyDescent="0.25">
      <c r="A143" s="149" t="s">
        <v>207</v>
      </c>
      <c r="B143" s="149"/>
    </row>
    <row r="145" spans="1:6" x14ac:dyDescent="0.25">
      <c r="A145" t="s">
        <v>208</v>
      </c>
    </row>
    <row r="146" spans="1:6" x14ac:dyDescent="0.25">
      <c r="A146" s="149" t="s">
        <v>209</v>
      </c>
    </row>
    <row r="147" spans="1:6" x14ac:dyDescent="0.25">
      <c r="A147" s="149" t="s">
        <v>210</v>
      </c>
    </row>
    <row r="148" spans="1:6" x14ac:dyDescent="0.25">
      <c r="A148" s="149"/>
    </row>
    <row r="149" spans="1:6" x14ac:dyDescent="0.25">
      <c r="A149" s="149" t="s">
        <v>211</v>
      </c>
    </row>
    <row r="150" spans="1:6" x14ac:dyDescent="0.25">
      <c r="A150" s="149"/>
    </row>
    <row r="151" spans="1:6" x14ac:dyDescent="0.25">
      <c r="A151" s="149" t="s">
        <v>212</v>
      </c>
    </row>
    <row r="152" spans="1:6" x14ac:dyDescent="0.25">
      <c r="A152" s="149" t="s">
        <v>213</v>
      </c>
    </row>
    <row r="153" spans="1:6" x14ac:dyDescent="0.25">
      <c r="A153" s="149"/>
    </row>
    <row r="154" spans="1:6" x14ac:dyDescent="0.25">
      <c r="A154" s="149" t="s">
        <v>207</v>
      </c>
    </row>
    <row r="155" spans="1:6" x14ac:dyDescent="0.25">
      <c r="A155" s="149" t="s">
        <v>223</v>
      </c>
    </row>
    <row r="156" spans="1:6" x14ac:dyDescent="0.25">
      <c r="B156" s="150" t="s">
        <v>214</v>
      </c>
      <c r="C156" s="151"/>
      <c r="D156" s="151"/>
      <c r="E156" s="151"/>
      <c r="F156" s="151"/>
    </row>
    <row r="157" spans="1:6" x14ac:dyDescent="0.25">
      <c r="B157" s="150"/>
      <c r="C157" s="151"/>
      <c r="D157" s="151"/>
      <c r="E157" s="151"/>
      <c r="F157" s="151"/>
    </row>
    <row r="158" spans="1:6" x14ac:dyDescent="0.25">
      <c r="B158" s="150" t="s">
        <v>215</v>
      </c>
      <c r="C158" s="151" t="s">
        <v>216</v>
      </c>
      <c r="D158" s="151" t="s">
        <v>217</v>
      </c>
      <c r="E158" s="151" t="s">
        <v>218</v>
      </c>
      <c r="F158" s="151" t="s">
        <v>219</v>
      </c>
    </row>
    <row r="159" spans="1:6" x14ac:dyDescent="0.25">
      <c r="B159" s="150" t="s">
        <v>220</v>
      </c>
      <c r="C159" s="152">
        <v>1.6500000000000001E-2</v>
      </c>
      <c r="D159" s="152">
        <v>7.5999999999999998E-2</v>
      </c>
      <c r="E159" s="153">
        <v>0.05</v>
      </c>
      <c r="F159" s="151">
        <v>0.85750000000000004</v>
      </c>
    </row>
    <row r="160" spans="1:6" x14ac:dyDescent="0.25">
      <c r="B160" s="150" t="s">
        <v>221</v>
      </c>
      <c r="C160" s="152">
        <v>6.4999999999999997E-3</v>
      </c>
      <c r="D160" s="153">
        <v>0.03</v>
      </c>
      <c r="E160" s="153">
        <v>0.05</v>
      </c>
      <c r="F160" s="151">
        <v>0.91349999999999998</v>
      </c>
    </row>
    <row r="161" spans="1:6" x14ac:dyDescent="0.25">
      <c r="B161" s="150" t="s">
        <v>222</v>
      </c>
      <c r="C161" s="152">
        <v>4.4000000000000003E-3</v>
      </c>
      <c r="D161" s="152">
        <v>2.35E-2</v>
      </c>
      <c r="E161" s="153">
        <v>0.05</v>
      </c>
      <c r="F161" s="151">
        <v>0.92210000000000003</v>
      </c>
    </row>
    <row r="163" spans="1:6" x14ac:dyDescent="0.25">
      <c r="A163" s="155" t="s">
        <v>225</v>
      </c>
    </row>
  </sheetData>
  <mergeCells count="51">
    <mergeCell ref="B118:H118"/>
    <mergeCell ref="B127:H127"/>
    <mergeCell ref="B133:H133"/>
    <mergeCell ref="C84:C89"/>
    <mergeCell ref="E84:E89"/>
    <mergeCell ref="B93:H93"/>
    <mergeCell ref="A97:H97"/>
    <mergeCell ref="B101:H101"/>
    <mergeCell ref="B108:H108"/>
    <mergeCell ref="B82:H82"/>
    <mergeCell ref="A60:A62"/>
    <mergeCell ref="D60:D61"/>
    <mergeCell ref="E60:E61"/>
    <mergeCell ref="F60:F61"/>
    <mergeCell ref="G60:G61"/>
    <mergeCell ref="B62:E62"/>
    <mergeCell ref="B63:E63"/>
    <mergeCell ref="B67:E67"/>
    <mergeCell ref="A68:H68"/>
    <mergeCell ref="B73:H73"/>
    <mergeCell ref="B81:H81"/>
    <mergeCell ref="B55:H55"/>
    <mergeCell ref="A57:A59"/>
    <mergeCell ref="D57:D58"/>
    <mergeCell ref="E57:E58"/>
    <mergeCell ref="F57:F58"/>
    <mergeCell ref="G57:G58"/>
    <mergeCell ref="D47:E48"/>
    <mergeCell ref="E18:H18"/>
    <mergeCell ref="B19:H19"/>
    <mergeCell ref="A20:H20"/>
    <mergeCell ref="D21:H21"/>
    <mergeCell ref="D22:H22"/>
    <mergeCell ref="D24:H24"/>
    <mergeCell ref="D25:H25"/>
    <mergeCell ref="B26:H26"/>
    <mergeCell ref="B39:H39"/>
    <mergeCell ref="B40:H40"/>
    <mergeCell ref="B45:H45"/>
    <mergeCell ref="E17:H17"/>
    <mergeCell ref="A3:H3"/>
    <mergeCell ref="E4:H6"/>
    <mergeCell ref="A7:D7"/>
    <mergeCell ref="A8:H8"/>
    <mergeCell ref="D9:H9"/>
    <mergeCell ref="D10:H10"/>
    <mergeCell ref="D11:H11"/>
    <mergeCell ref="D12:H12"/>
    <mergeCell ref="A14:H14"/>
    <mergeCell ref="E15:H15"/>
    <mergeCell ref="E16:H16"/>
  </mergeCells>
  <dataValidations count="4">
    <dataValidation type="list" operator="equal" allowBlank="1" showErrorMessage="1" sqref="D28">
      <formula1>$J$33:$J$34</formula1>
      <formula2>0</formula2>
    </dataValidation>
    <dataValidation type="list" operator="equal" allowBlank="1" showErrorMessage="1" sqref="E28">
      <formula1>$K$33:$K$34</formula1>
      <formula2>0</formula2>
    </dataValidation>
    <dataValidation type="list" operator="equal" allowBlank="1" showErrorMessage="1" sqref="D31">
      <formula1>$J$28:$J$31</formula1>
      <formula2>0</formula2>
    </dataValidation>
    <dataValidation type="list" operator="equal" allowBlank="1" showErrorMessage="1" promptTitle="Percentual" sqref="E31">
      <formula1>$K$28:$K$31</formula1>
      <formula2>0</formula2>
    </dataValidation>
  </dataValidations>
  <pageMargins left="0.7" right="0.7" top="0.75" bottom="0.75" header="0.3" footer="0.3"/>
  <pageSetup scale="45" orientation="portrait" r:id="rId1"/>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64"/>
  <sheetViews>
    <sheetView topLeftCell="A119" zoomScale="70" zoomScaleNormal="70" workbookViewId="0">
      <selection activeCell="B82" sqref="B82:H82"/>
    </sheetView>
  </sheetViews>
  <sheetFormatPr defaultRowHeight="15" x14ac:dyDescent="0.25"/>
  <cols>
    <col min="1" max="1" width="4.85546875" bestFit="1" customWidth="1"/>
    <col min="2" max="2" width="54.85546875" customWidth="1"/>
    <col min="3" max="3" width="11.5703125" customWidth="1"/>
    <col min="4" max="4" width="34" customWidth="1"/>
    <col min="5" max="5" width="18" customWidth="1"/>
    <col min="6" max="6" width="25.28515625" bestFit="1" customWidth="1"/>
    <col min="7" max="7" width="11.5703125" bestFit="1" customWidth="1"/>
    <col min="8" max="8" width="27.5703125" bestFit="1" customWidth="1"/>
    <col min="9" max="9" width="20.7109375" customWidth="1"/>
    <col min="10" max="10" width="12" bestFit="1" customWidth="1"/>
  </cols>
  <sheetData>
    <row r="1" spans="1:8" x14ac:dyDescent="0.25">
      <c r="A1" s="1"/>
      <c r="B1" s="1"/>
      <c r="C1" s="1"/>
      <c r="D1" s="1"/>
      <c r="E1" s="1"/>
      <c r="F1" s="1"/>
      <c r="G1" s="1"/>
      <c r="H1" s="2"/>
    </row>
    <row r="2" spans="1:8" ht="15.75" x14ac:dyDescent="0.25">
      <c r="A2" s="3"/>
      <c r="B2" s="3" t="s">
        <v>0</v>
      </c>
      <c r="C2" s="3"/>
      <c r="D2" s="4" t="s">
        <v>1</v>
      </c>
      <c r="E2" s="3"/>
      <c r="F2" s="3" t="s">
        <v>2</v>
      </c>
      <c r="G2" s="3"/>
      <c r="H2" s="5" t="s">
        <v>156</v>
      </c>
    </row>
    <row r="3" spans="1:8" ht="15.75" x14ac:dyDescent="0.25">
      <c r="A3" s="269" t="s">
        <v>3</v>
      </c>
      <c r="B3" s="269"/>
      <c r="C3" s="269"/>
      <c r="D3" s="269"/>
      <c r="E3" s="269"/>
      <c r="F3" s="269"/>
      <c r="G3" s="269"/>
      <c r="H3" s="269"/>
    </row>
    <row r="4" spans="1:8" ht="15.75" x14ac:dyDescent="0.25">
      <c r="A4" s="6" t="s">
        <v>4</v>
      </c>
      <c r="B4" s="7" t="s">
        <v>5</v>
      </c>
      <c r="C4" s="7"/>
      <c r="D4" s="8"/>
      <c r="E4" s="287" t="s">
        <v>6</v>
      </c>
      <c r="F4" s="287"/>
      <c r="G4" s="287"/>
      <c r="H4" s="287"/>
    </row>
    <row r="5" spans="1:8" ht="15.75" x14ac:dyDescent="0.25">
      <c r="A5" s="6" t="s">
        <v>7</v>
      </c>
      <c r="B5" s="7" t="s">
        <v>8</v>
      </c>
      <c r="C5" s="7"/>
      <c r="D5" s="9"/>
      <c r="E5" s="287"/>
      <c r="F5" s="287"/>
      <c r="G5" s="287"/>
      <c r="H5" s="287"/>
    </row>
    <row r="6" spans="1:8" ht="15.75" x14ac:dyDescent="0.25">
      <c r="A6" s="6" t="s">
        <v>9</v>
      </c>
      <c r="B6" s="7" t="s">
        <v>10</v>
      </c>
      <c r="C6" s="7"/>
      <c r="D6" s="10" t="s">
        <v>11</v>
      </c>
      <c r="E6" s="287"/>
      <c r="F6" s="287"/>
      <c r="G6" s="287"/>
      <c r="H6" s="287"/>
    </row>
    <row r="7" spans="1:8" ht="15.75" x14ac:dyDescent="0.25">
      <c r="A7" s="288"/>
      <c r="B7" s="288"/>
      <c r="C7" s="288"/>
      <c r="D7" s="288"/>
      <c r="E7" s="11"/>
      <c r="F7" s="11"/>
      <c r="G7" s="11"/>
      <c r="H7" s="11"/>
    </row>
    <row r="8" spans="1:8" ht="15.75" x14ac:dyDescent="0.25">
      <c r="A8" s="269" t="s">
        <v>12</v>
      </c>
      <c r="B8" s="269"/>
      <c r="C8" s="269"/>
      <c r="D8" s="269"/>
      <c r="E8" s="269"/>
      <c r="F8" s="269"/>
      <c r="G8" s="269"/>
      <c r="H8" s="269"/>
    </row>
    <row r="9" spans="1:8" x14ac:dyDescent="0.25">
      <c r="A9" s="12" t="s">
        <v>4</v>
      </c>
      <c r="B9" s="13" t="s">
        <v>13</v>
      </c>
      <c r="C9" s="13"/>
      <c r="D9" s="281" t="s">
        <v>14</v>
      </c>
      <c r="E9" s="281"/>
      <c r="F9" s="281"/>
      <c r="G9" s="281"/>
      <c r="H9" s="281"/>
    </row>
    <row r="10" spans="1:8" x14ac:dyDescent="0.25">
      <c r="A10" s="12" t="s">
        <v>7</v>
      </c>
      <c r="B10" s="13" t="s">
        <v>15</v>
      </c>
      <c r="C10" s="13"/>
      <c r="D10" s="289" t="s">
        <v>186</v>
      </c>
      <c r="E10" s="289"/>
      <c r="F10" s="289"/>
      <c r="G10" s="289"/>
      <c r="H10" s="289"/>
    </row>
    <row r="11" spans="1:8" x14ac:dyDescent="0.25">
      <c r="A11" s="12" t="s">
        <v>9</v>
      </c>
      <c r="B11" s="13" t="s">
        <v>16</v>
      </c>
      <c r="C11" s="13"/>
      <c r="D11" s="289" t="s">
        <v>174</v>
      </c>
      <c r="E11" s="289"/>
      <c r="F11" s="289"/>
      <c r="G11" s="289"/>
      <c r="H11" s="289"/>
    </row>
    <row r="12" spans="1:8" x14ac:dyDescent="0.25">
      <c r="A12" s="12" t="s">
        <v>17</v>
      </c>
      <c r="B12" s="13" t="s">
        <v>18</v>
      </c>
      <c r="C12" s="13"/>
      <c r="D12" s="289">
        <v>12</v>
      </c>
      <c r="E12" s="289"/>
      <c r="F12" s="289"/>
      <c r="G12" s="289"/>
      <c r="H12" s="289"/>
    </row>
    <row r="13" spans="1:8" x14ac:dyDescent="0.25">
      <c r="A13" s="12"/>
      <c r="B13" s="13"/>
      <c r="C13" s="13"/>
      <c r="D13" s="14"/>
      <c r="E13" s="14"/>
      <c r="F13" s="14"/>
      <c r="G13" s="14"/>
      <c r="H13" s="15"/>
    </row>
    <row r="14" spans="1:8" ht="15.75" x14ac:dyDescent="0.25">
      <c r="A14" s="269" t="s">
        <v>19</v>
      </c>
      <c r="B14" s="269"/>
      <c r="C14" s="269"/>
      <c r="D14" s="269"/>
      <c r="E14" s="269"/>
      <c r="F14" s="269"/>
      <c r="G14" s="269"/>
      <c r="H14" s="269"/>
    </row>
    <row r="15" spans="1:8" ht="15.75" x14ac:dyDescent="0.25">
      <c r="A15" s="12"/>
      <c r="B15" s="16" t="s">
        <v>20</v>
      </c>
      <c r="C15" s="16"/>
      <c r="D15" s="17" t="s">
        <v>21</v>
      </c>
      <c r="E15" s="290" t="s">
        <v>22</v>
      </c>
      <c r="F15" s="290"/>
      <c r="G15" s="290"/>
      <c r="H15" s="290"/>
    </row>
    <row r="16" spans="1:8" x14ac:dyDescent="0.25">
      <c r="A16" s="12" t="s">
        <v>4</v>
      </c>
      <c r="B16" s="18" t="s">
        <v>180</v>
      </c>
      <c r="C16" s="19"/>
      <c r="D16" s="20" t="s">
        <v>23</v>
      </c>
      <c r="E16" s="291">
        <v>1</v>
      </c>
      <c r="F16" s="291"/>
      <c r="G16" s="291"/>
      <c r="H16" s="291"/>
    </row>
    <row r="17" spans="1:9" x14ac:dyDescent="0.25">
      <c r="A17" s="12" t="s">
        <v>7</v>
      </c>
      <c r="B17" s="13"/>
      <c r="C17" s="13"/>
      <c r="D17" s="21"/>
      <c r="E17" s="279"/>
      <c r="F17" s="279"/>
      <c r="G17" s="279"/>
      <c r="H17" s="279"/>
    </row>
    <row r="18" spans="1:9" x14ac:dyDescent="0.25">
      <c r="A18" s="12" t="s">
        <v>9</v>
      </c>
      <c r="B18" s="13"/>
      <c r="C18" s="13"/>
      <c r="D18" s="21"/>
      <c r="E18" s="279"/>
      <c r="F18" s="279"/>
      <c r="G18" s="279"/>
      <c r="H18" s="279"/>
    </row>
    <row r="19" spans="1:9" ht="15.75" x14ac:dyDescent="0.25">
      <c r="A19" s="110"/>
      <c r="B19" s="269" t="s">
        <v>24</v>
      </c>
      <c r="C19" s="269"/>
      <c r="D19" s="269"/>
      <c r="E19" s="269"/>
      <c r="F19" s="269"/>
      <c r="G19" s="269"/>
      <c r="H19" s="269"/>
    </row>
    <row r="20" spans="1:9" ht="15.75" x14ac:dyDescent="0.25">
      <c r="A20" s="280" t="s">
        <v>25</v>
      </c>
      <c r="B20" s="280"/>
      <c r="C20" s="280"/>
      <c r="D20" s="280"/>
      <c r="E20" s="280"/>
      <c r="F20" s="280"/>
      <c r="G20" s="280"/>
      <c r="H20" s="280"/>
    </row>
    <row r="21" spans="1:9" x14ac:dyDescent="0.25">
      <c r="A21" s="12">
        <v>1</v>
      </c>
      <c r="B21" s="13" t="s">
        <v>20</v>
      </c>
      <c r="C21" s="13"/>
      <c r="D21" s="281" t="s">
        <v>183</v>
      </c>
      <c r="E21" s="281"/>
      <c r="F21" s="281"/>
      <c r="G21" s="281"/>
      <c r="H21" s="281"/>
    </row>
    <row r="22" spans="1:9" x14ac:dyDescent="0.25">
      <c r="A22" s="12">
        <v>2</v>
      </c>
      <c r="B22" s="13" t="s">
        <v>26</v>
      </c>
      <c r="C22" s="13"/>
      <c r="D22" s="282" t="s">
        <v>176</v>
      </c>
      <c r="E22" s="282"/>
      <c r="F22" s="282"/>
      <c r="G22" s="282"/>
      <c r="H22" s="282"/>
    </row>
    <row r="23" spans="1:9" x14ac:dyDescent="0.25">
      <c r="A23" s="12">
        <v>3</v>
      </c>
      <c r="B23" s="13" t="s">
        <v>27</v>
      </c>
      <c r="C23" s="13"/>
      <c r="D23" s="22">
        <v>1134.1099999999999</v>
      </c>
      <c r="E23" s="23"/>
      <c r="F23" s="23"/>
      <c r="G23" s="23"/>
      <c r="H23" s="23"/>
    </row>
    <row r="24" spans="1:9" ht="30" x14ac:dyDescent="0.25">
      <c r="A24" s="1">
        <v>4</v>
      </c>
      <c r="B24" s="24" t="s">
        <v>28</v>
      </c>
      <c r="C24" s="24"/>
      <c r="D24" s="283" t="s">
        <v>170</v>
      </c>
      <c r="E24" s="283"/>
      <c r="F24" s="283"/>
      <c r="G24" s="283"/>
      <c r="H24" s="283"/>
    </row>
    <row r="25" spans="1:9" x14ac:dyDescent="0.25">
      <c r="A25" s="1">
        <v>5</v>
      </c>
      <c r="B25" s="25" t="s">
        <v>29</v>
      </c>
      <c r="C25" s="25"/>
      <c r="D25" s="284" t="s">
        <v>171</v>
      </c>
      <c r="E25" s="284"/>
      <c r="F25" s="284"/>
      <c r="G25" s="284"/>
      <c r="H25" s="284"/>
    </row>
    <row r="26" spans="1:9" ht="15.75" x14ac:dyDescent="0.25">
      <c r="A26" s="26">
        <v>1</v>
      </c>
      <c r="B26" s="267" t="s">
        <v>30</v>
      </c>
      <c r="C26" s="267"/>
      <c r="D26" s="267"/>
      <c r="E26" s="267"/>
      <c r="F26" s="267"/>
      <c r="G26" s="267"/>
      <c r="H26" s="267"/>
    </row>
    <row r="27" spans="1:9" ht="15.75" x14ac:dyDescent="0.25">
      <c r="A27" s="1" t="s">
        <v>4</v>
      </c>
      <c r="B27" s="27" t="s">
        <v>31</v>
      </c>
      <c r="C27" s="27"/>
      <c r="D27" s="27"/>
      <c r="G27" s="28"/>
      <c r="H27" s="29">
        <v>1134.1099999999999</v>
      </c>
    </row>
    <row r="28" spans="1:9" ht="15.75" x14ac:dyDescent="0.25">
      <c r="A28" s="1" t="s">
        <v>7</v>
      </c>
      <c r="B28" s="6" t="s">
        <v>32</v>
      </c>
      <c r="C28" s="6"/>
      <c r="D28" s="30"/>
      <c r="E28" s="31">
        <v>0</v>
      </c>
      <c r="H28" s="32"/>
    </row>
    <row r="29" spans="1:9" ht="15.75" x14ac:dyDescent="0.25">
      <c r="A29" s="1" t="s">
        <v>9</v>
      </c>
      <c r="B29" s="6" t="s">
        <v>34</v>
      </c>
      <c r="C29" s="6"/>
      <c r="D29" s="33" t="s">
        <v>35</v>
      </c>
      <c r="E29" s="34" t="s">
        <v>36</v>
      </c>
      <c r="F29" s="33" t="s">
        <v>37</v>
      </c>
      <c r="G29" s="35"/>
      <c r="H29" s="32"/>
    </row>
    <row r="30" spans="1:9" ht="15.75" x14ac:dyDescent="0.25">
      <c r="A30" s="1" t="s">
        <v>17</v>
      </c>
      <c r="B30" s="6" t="s">
        <v>167</v>
      </c>
      <c r="C30" s="6"/>
      <c r="D30" s="33"/>
      <c r="E30" s="34"/>
      <c r="F30" s="33"/>
      <c r="G30" s="35"/>
      <c r="H30" s="32"/>
      <c r="I30">
        <v>40</v>
      </c>
    </row>
    <row r="31" spans="1:9" ht="15.75" x14ac:dyDescent="0.25">
      <c r="A31" s="1" t="s">
        <v>40</v>
      </c>
      <c r="B31" s="6" t="s">
        <v>38</v>
      </c>
      <c r="C31" s="6"/>
      <c r="D31" s="30" t="s">
        <v>39</v>
      </c>
      <c r="E31" s="36">
        <v>0</v>
      </c>
      <c r="F31" s="37">
        <v>954</v>
      </c>
      <c r="G31" s="27"/>
      <c r="H31" s="38"/>
      <c r="I31">
        <v>120</v>
      </c>
    </row>
    <row r="32" spans="1:9" ht="15.75" x14ac:dyDescent="0.25">
      <c r="A32" s="1" t="s">
        <v>42</v>
      </c>
      <c r="B32" s="6" t="s">
        <v>41</v>
      </c>
      <c r="C32" s="6"/>
      <c r="G32" s="35"/>
      <c r="H32" s="38"/>
    </row>
    <row r="33" spans="1:9" ht="15.75" x14ac:dyDescent="0.25">
      <c r="A33" s="1" t="s">
        <v>61</v>
      </c>
      <c r="B33" s="6" t="s">
        <v>159</v>
      </c>
      <c r="C33" s="6"/>
      <c r="G33" s="35"/>
      <c r="H33" s="38"/>
    </row>
    <row r="34" spans="1:9" ht="15.75" x14ac:dyDescent="0.25">
      <c r="A34" s="1" t="s">
        <v>43</v>
      </c>
      <c r="B34" s="6" t="s">
        <v>155</v>
      </c>
      <c r="C34" s="6"/>
      <c r="G34" s="35"/>
      <c r="H34" s="38"/>
    </row>
    <row r="35" spans="1:9" ht="15.75" x14ac:dyDescent="0.25">
      <c r="A35" s="1" t="s">
        <v>161</v>
      </c>
      <c r="B35" s="8" t="s">
        <v>160</v>
      </c>
      <c r="C35" s="8"/>
      <c r="G35" s="35"/>
      <c r="H35" s="38"/>
    </row>
    <row r="36" spans="1:9" ht="15.75" x14ac:dyDescent="0.25">
      <c r="A36" s="1" t="s">
        <v>165</v>
      </c>
      <c r="B36" s="8" t="s">
        <v>162</v>
      </c>
      <c r="C36" s="8"/>
      <c r="G36" s="35"/>
      <c r="H36" s="38"/>
    </row>
    <row r="37" spans="1:9" ht="15.75" x14ac:dyDescent="0.25">
      <c r="A37" s="1" t="s">
        <v>166</v>
      </c>
      <c r="B37" s="6" t="s">
        <v>44</v>
      </c>
      <c r="C37" s="6"/>
      <c r="D37" s="27"/>
      <c r="E37" s="27"/>
      <c r="F37" s="35"/>
      <c r="G37" s="35"/>
      <c r="H37" s="35">
        <v>0</v>
      </c>
    </row>
    <row r="38" spans="1:9" ht="15.75" x14ac:dyDescent="0.25">
      <c r="A38" s="39"/>
      <c r="B38" s="40" t="s">
        <v>45</v>
      </c>
      <c r="C38" s="40"/>
      <c r="D38" s="41"/>
      <c r="E38" s="41"/>
      <c r="F38" s="42"/>
      <c r="G38" s="42"/>
      <c r="H38" s="43">
        <f>SUM(H27:H37)</f>
        <v>1134.1099999999999</v>
      </c>
    </row>
    <row r="39" spans="1:9" ht="15.75" x14ac:dyDescent="0.25">
      <c r="A39" s="44">
        <v>2</v>
      </c>
      <c r="B39" s="285" t="s">
        <v>46</v>
      </c>
      <c r="C39" s="285"/>
      <c r="D39" s="285"/>
      <c r="E39" s="285"/>
      <c r="F39" s="285"/>
      <c r="G39" s="285"/>
      <c r="H39" s="285"/>
    </row>
    <row r="40" spans="1:9" ht="15.75" x14ac:dyDescent="0.25">
      <c r="A40" s="124" t="s">
        <v>47</v>
      </c>
      <c r="B40" s="286" t="s">
        <v>48</v>
      </c>
      <c r="C40" s="286"/>
      <c r="D40" s="286"/>
      <c r="E40" s="286"/>
      <c r="F40" s="286"/>
      <c r="G40" s="286"/>
      <c r="H40" s="286"/>
    </row>
    <row r="41" spans="1:9" ht="15.75" x14ac:dyDescent="0.25">
      <c r="A41" s="1" t="s">
        <v>4</v>
      </c>
      <c r="B41" s="8" t="s">
        <v>49</v>
      </c>
      <c r="C41" s="8"/>
      <c r="D41" s="8"/>
      <c r="E41" s="27"/>
      <c r="F41" s="28"/>
      <c r="G41" s="45">
        <v>8.3299999999999999E-2</v>
      </c>
      <c r="H41" s="28">
        <f>SUM($H$38*G41)</f>
        <v>94.471362999999997</v>
      </c>
    </row>
    <row r="42" spans="1:9" ht="15.75" x14ac:dyDescent="0.25">
      <c r="A42" s="1" t="s">
        <v>7</v>
      </c>
      <c r="B42" s="27" t="s">
        <v>50</v>
      </c>
      <c r="C42" s="27"/>
      <c r="D42" s="27"/>
      <c r="E42" s="27"/>
      <c r="F42" s="46"/>
      <c r="G42" s="47">
        <v>0.121</v>
      </c>
      <c r="H42" s="28">
        <f>SUM($H$38*G42)</f>
        <v>137.22730999999999</v>
      </c>
    </row>
    <row r="43" spans="1:9" ht="15.75" x14ac:dyDescent="0.25">
      <c r="A43" s="1" t="s">
        <v>9</v>
      </c>
      <c r="B43" s="48" t="s">
        <v>51</v>
      </c>
      <c r="C43" s="48"/>
      <c r="D43" s="27"/>
      <c r="E43" s="27"/>
      <c r="F43" s="46"/>
      <c r="G43" s="47">
        <f>G42+G41*G54</f>
        <v>0.15165439999999999</v>
      </c>
      <c r="H43" s="28">
        <f>SUM(H41:H42)*G54</f>
        <v>85.265111664000017</v>
      </c>
    </row>
    <row r="44" spans="1:9" ht="15.75" x14ac:dyDescent="0.25">
      <c r="A44" s="49"/>
      <c r="B44" s="50" t="s">
        <v>45</v>
      </c>
      <c r="C44" s="40"/>
      <c r="D44" s="41"/>
      <c r="E44" s="41"/>
      <c r="F44" s="42"/>
      <c r="G44" s="42"/>
      <c r="H44" s="43">
        <f>SUM(H41:H43)</f>
        <v>316.963784664</v>
      </c>
    </row>
    <row r="45" spans="1:9" ht="15.75" x14ac:dyDescent="0.25">
      <c r="A45" s="110" t="s">
        <v>52</v>
      </c>
      <c r="B45" s="269" t="s">
        <v>53</v>
      </c>
      <c r="C45" s="269"/>
      <c r="D45" s="269"/>
      <c r="E45" s="269"/>
      <c r="F45" s="269"/>
      <c r="G45" s="269"/>
      <c r="H45" s="269"/>
    </row>
    <row r="46" spans="1:9" ht="15.75" x14ac:dyDescent="0.25">
      <c r="A46" s="1" t="s">
        <v>4</v>
      </c>
      <c r="B46" s="51" t="s">
        <v>54</v>
      </c>
      <c r="C46" s="51"/>
      <c r="D46" s="27"/>
      <c r="E46" s="27"/>
      <c r="F46" s="28"/>
      <c r="G46" s="45">
        <v>0.2</v>
      </c>
      <c r="H46" s="28">
        <f>SUM($H$38*G46)</f>
        <v>226.822</v>
      </c>
    </row>
    <row r="47" spans="1:9" ht="15.75" x14ac:dyDescent="0.25">
      <c r="A47" s="1" t="s">
        <v>7</v>
      </c>
      <c r="B47" s="51" t="s">
        <v>55</v>
      </c>
      <c r="C47" s="51"/>
      <c r="D47" s="278" t="s">
        <v>56</v>
      </c>
      <c r="E47" s="278"/>
      <c r="F47" s="28"/>
      <c r="G47" s="52">
        <v>1.4999999999999999E-2</v>
      </c>
      <c r="H47" s="28">
        <f t="shared" ref="H47:H53" si="0">SUM($H$38*G47)</f>
        <v>17.011649999999999</v>
      </c>
      <c r="I47" s="115"/>
    </row>
    <row r="48" spans="1:9" ht="15.75" x14ac:dyDescent="0.25">
      <c r="A48" s="1" t="s">
        <v>9</v>
      </c>
      <c r="B48" s="51" t="s">
        <v>57</v>
      </c>
      <c r="C48" s="51"/>
      <c r="D48" s="278"/>
      <c r="E48" s="278"/>
      <c r="F48" s="28"/>
      <c r="G48" s="52">
        <v>0.01</v>
      </c>
      <c r="H48" s="28">
        <f t="shared" si="0"/>
        <v>11.341099999999999</v>
      </c>
    </row>
    <row r="49" spans="1:13" ht="15.75" x14ac:dyDescent="0.25">
      <c r="A49" s="1" t="s">
        <v>17</v>
      </c>
      <c r="B49" s="51" t="s">
        <v>58</v>
      </c>
      <c r="C49" s="51"/>
      <c r="D49" s="27"/>
      <c r="E49" s="27"/>
      <c r="F49" s="28"/>
      <c r="G49" s="52">
        <v>2E-3</v>
      </c>
      <c r="H49" s="28">
        <f t="shared" si="0"/>
        <v>2.2682199999999999</v>
      </c>
    </row>
    <row r="50" spans="1:13" ht="15.75" x14ac:dyDescent="0.25">
      <c r="A50" s="1" t="s">
        <v>40</v>
      </c>
      <c r="B50" s="51" t="s">
        <v>59</v>
      </c>
      <c r="C50" s="51"/>
      <c r="D50" s="27"/>
      <c r="E50" s="27"/>
      <c r="F50" s="28"/>
      <c r="G50" s="52">
        <v>2.5000000000000001E-2</v>
      </c>
      <c r="H50" s="28">
        <f>SUM($H$38*G50)</f>
        <v>28.35275</v>
      </c>
    </row>
    <row r="51" spans="1:13" ht="15.75" x14ac:dyDescent="0.25">
      <c r="A51" s="1" t="s">
        <v>42</v>
      </c>
      <c r="B51" s="51" t="s">
        <v>60</v>
      </c>
      <c r="C51" s="51"/>
      <c r="D51" s="27"/>
      <c r="E51" s="27"/>
      <c r="F51" s="28"/>
      <c r="G51" s="45">
        <v>0.08</v>
      </c>
      <c r="H51" s="28">
        <f t="shared" si="0"/>
        <v>90.728799999999993</v>
      </c>
    </row>
    <row r="52" spans="1:13" ht="15.75" x14ac:dyDescent="0.25">
      <c r="A52" s="127" t="s">
        <v>61</v>
      </c>
      <c r="B52" s="128" t="s">
        <v>62</v>
      </c>
      <c r="C52" s="128"/>
      <c r="D52" s="129"/>
      <c r="E52" s="129"/>
      <c r="F52" s="129"/>
      <c r="G52" s="130">
        <v>0.03</v>
      </c>
      <c r="H52" s="131">
        <f t="shared" si="0"/>
        <v>34.023299999999999</v>
      </c>
    </row>
    <row r="53" spans="1:13" ht="15.75" x14ac:dyDescent="0.25">
      <c r="A53" s="1" t="s">
        <v>43</v>
      </c>
      <c r="B53" s="51" t="s">
        <v>63</v>
      </c>
      <c r="C53" s="51"/>
      <c r="D53" s="27"/>
      <c r="E53" s="27"/>
      <c r="F53" s="28"/>
      <c r="G53" s="52">
        <v>6.0000000000000001E-3</v>
      </c>
      <c r="H53" s="28">
        <f t="shared" si="0"/>
        <v>6.8046599999999993</v>
      </c>
      <c r="I53" s="121">
        <f>H54+H43</f>
        <v>502.61759166400003</v>
      </c>
    </row>
    <row r="54" spans="1:13" ht="15.75" x14ac:dyDescent="0.25">
      <c r="A54" s="54"/>
      <c r="B54" s="55" t="s">
        <v>45</v>
      </c>
      <c r="C54" s="55"/>
      <c r="D54" s="40"/>
      <c r="E54" s="40"/>
      <c r="F54" s="56"/>
      <c r="G54" s="57">
        <f>SUM(G46:G53)</f>
        <v>0.3680000000000001</v>
      </c>
      <c r="H54" s="58">
        <f>SUM(H46:H53)</f>
        <v>417.35248000000001</v>
      </c>
    </row>
    <row r="55" spans="1:13" ht="15.75" x14ac:dyDescent="0.25">
      <c r="A55" s="110" t="s">
        <v>64</v>
      </c>
      <c r="B55" s="269" t="s">
        <v>65</v>
      </c>
      <c r="C55" s="269"/>
      <c r="D55" s="269"/>
      <c r="E55" s="269"/>
      <c r="F55" s="269"/>
      <c r="G55" s="269"/>
      <c r="H55" s="269"/>
    </row>
    <row r="56" spans="1:13" ht="15.75" x14ac:dyDescent="0.25">
      <c r="A56" s="6" t="s">
        <v>66</v>
      </c>
      <c r="B56" s="59"/>
      <c r="C56" s="59"/>
      <c r="D56" s="60" t="s">
        <v>67</v>
      </c>
      <c r="E56" s="60" t="s">
        <v>68</v>
      </c>
      <c r="F56" s="60" t="s">
        <v>69</v>
      </c>
      <c r="G56" s="60" t="s">
        <v>70</v>
      </c>
      <c r="H56" s="6"/>
    </row>
    <row r="57" spans="1:13" ht="15.75" x14ac:dyDescent="0.25">
      <c r="A57" s="270" t="s">
        <v>4</v>
      </c>
      <c r="B57" s="6" t="s">
        <v>71</v>
      </c>
      <c r="C57" s="6"/>
      <c r="D57" s="271"/>
      <c r="E57" s="272"/>
      <c r="F57" s="273"/>
      <c r="G57" s="274"/>
      <c r="H57" s="35">
        <f>F57*E57*D57</f>
        <v>0</v>
      </c>
    </row>
    <row r="58" spans="1:13" ht="15.75" x14ac:dyDescent="0.25">
      <c r="A58" s="270"/>
      <c r="B58" s="6" t="s">
        <v>72</v>
      </c>
      <c r="C58" s="6"/>
      <c r="D58" s="271"/>
      <c r="E58" s="271"/>
      <c r="F58" s="271"/>
      <c r="G58" s="271"/>
      <c r="H58" s="35">
        <f>H27*G57</f>
        <v>0</v>
      </c>
    </row>
    <row r="59" spans="1:13" ht="15.75" x14ac:dyDescent="0.25">
      <c r="A59" s="270"/>
      <c r="B59" s="8" t="s">
        <v>73</v>
      </c>
      <c r="C59" s="8"/>
      <c r="D59" s="8"/>
      <c r="E59" s="27"/>
      <c r="F59" s="27"/>
      <c r="G59" s="61"/>
      <c r="H59" s="35">
        <f>H57-H58</f>
        <v>0</v>
      </c>
    </row>
    <row r="60" spans="1:13" ht="15.75" x14ac:dyDescent="0.25">
      <c r="A60" s="270" t="s">
        <v>7</v>
      </c>
      <c r="B60" s="6" t="s">
        <v>74</v>
      </c>
      <c r="C60" s="6"/>
      <c r="D60" s="271">
        <v>1</v>
      </c>
      <c r="E60" s="272">
        <v>1</v>
      </c>
      <c r="F60" s="273">
        <v>0</v>
      </c>
      <c r="G60" s="274">
        <v>0.2</v>
      </c>
      <c r="H60" s="35">
        <f>F60*E60*D60</f>
        <v>0</v>
      </c>
    </row>
    <row r="61" spans="1:13" ht="15.75" x14ac:dyDescent="0.25">
      <c r="A61" s="270"/>
      <c r="B61" s="6" t="s">
        <v>72</v>
      </c>
      <c r="C61" s="6"/>
      <c r="D61" s="271"/>
      <c r="E61" s="271"/>
      <c r="F61" s="271"/>
      <c r="G61" s="271"/>
      <c r="H61" s="35">
        <f>H60*G60</f>
        <v>0</v>
      </c>
    </row>
    <row r="62" spans="1:13" ht="15.75" x14ac:dyDescent="0.25">
      <c r="A62" s="270"/>
      <c r="B62" s="275" t="s">
        <v>75</v>
      </c>
      <c r="C62" s="275"/>
      <c r="D62" s="275"/>
      <c r="E62" s="275"/>
      <c r="F62" s="13"/>
      <c r="G62" s="13"/>
      <c r="H62" s="35">
        <f>H60-H61</f>
        <v>0</v>
      </c>
    </row>
    <row r="63" spans="1:13" ht="15.75" x14ac:dyDescent="0.25">
      <c r="A63" s="62" t="s">
        <v>9</v>
      </c>
      <c r="B63" s="275" t="s">
        <v>76</v>
      </c>
      <c r="C63" s="275"/>
      <c r="D63" s="275"/>
      <c r="E63" s="275"/>
      <c r="F63" s="13"/>
      <c r="G63" s="13"/>
      <c r="H63" s="35">
        <v>0</v>
      </c>
    </row>
    <row r="64" spans="1:13" ht="15.75" x14ac:dyDescent="0.25">
      <c r="A64" s="62" t="s">
        <v>17</v>
      </c>
      <c r="B64" s="117" t="s">
        <v>177</v>
      </c>
      <c r="C64" s="117"/>
      <c r="D64" s="117"/>
      <c r="E64" s="117" t="s">
        <v>163</v>
      </c>
      <c r="F64" s="13"/>
      <c r="G64" s="13"/>
      <c r="H64" s="35">
        <v>100</v>
      </c>
      <c r="J64" s="125"/>
      <c r="K64" s="13"/>
      <c r="L64" s="13"/>
      <c r="M64" s="35">
        <v>0</v>
      </c>
    </row>
    <row r="65" spans="1:13" ht="15.75" x14ac:dyDescent="0.25">
      <c r="A65" s="62" t="s">
        <v>40</v>
      </c>
      <c r="B65" s="116" t="s">
        <v>224</v>
      </c>
      <c r="C65" s="117"/>
      <c r="D65" s="117"/>
      <c r="E65" s="117"/>
      <c r="F65" s="13"/>
      <c r="G65" s="13"/>
      <c r="H65" s="35">
        <v>3.53</v>
      </c>
      <c r="J65" s="148"/>
      <c r="K65" s="13"/>
      <c r="L65" s="13"/>
      <c r="M65" s="35"/>
    </row>
    <row r="66" spans="1:13" ht="15.75" x14ac:dyDescent="0.25">
      <c r="A66" s="62" t="s">
        <v>42</v>
      </c>
      <c r="B66" s="116" t="s">
        <v>78</v>
      </c>
      <c r="C66" s="116"/>
      <c r="D66" s="116"/>
      <c r="E66" s="118">
        <v>0</v>
      </c>
      <c r="H66" s="35">
        <f>(1/12*(H27+H28+H30))*E66</f>
        <v>0</v>
      </c>
    </row>
    <row r="67" spans="1:13" ht="15.75" x14ac:dyDescent="0.25">
      <c r="A67" s="63"/>
      <c r="B67" s="276" t="s">
        <v>45</v>
      </c>
      <c r="C67" s="276"/>
      <c r="D67" s="276"/>
      <c r="E67" s="276"/>
      <c r="F67" s="64"/>
      <c r="G67" s="64"/>
      <c r="H67" s="65">
        <f>H59+H62+H63+H64+H65+H66</f>
        <v>103.53</v>
      </c>
    </row>
    <row r="68" spans="1:13" ht="15.75" x14ac:dyDescent="0.25">
      <c r="A68" s="269" t="s">
        <v>79</v>
      </c>
      <c r="B68" s="269"/>
      <c r="C68" s="269"/>
      <c r="D68" s="269"/>
      <c r="E68" s="269"/>
      <c r="F68" s="269"/>
      <c r="G68" s="269"/>
      <c r="H68" s="269"/>
    </row>
    <row r="69" spans="1:13" ht="15.75" x14ac:dyDescent="0.25">
      <c r="A69" s="62" t="s">
        <v>47</v>
      </c>
      <c r="B69" s="8" t="s">
        <v>80</v>
      </c>
      <c r="C69" s="8"/>
      <c r="D69" s="66"/>
      <c r="E69" s="66"/>
      <c r="F69" s="13"/>
      <c r="G69" s="13"/>
      <c r="H69" s="67">
        <f>H44</f>
        <v>316.963784664</v>
      </c>
    </row>
    <row r="70" spans="1:13" ht="15.75" x14ac:dyDescent="0.25">
      <c r="A70" s="62" t="s">
        <v>52</v>
      </c>
      <c r="B70" s="8" t="s">
        <v>81</v>
      </c>
      <c r="C70" s="8"/>
      <c r="D70" s="66"/>
      <c r="E70" s="66"/>
      <c r="F70" s="13"/>
      <c r="G70" s="13"/>
      <c r="H70" s="67">
        <f>H54</f>
        <v>417.35248000000001</v>
      </c>
    </row>
    <row r="71" spans="1:13" ht="15.75" x14ac:dyDescent="0.25">
      <c r="A71" s="62" t="s">
        <v>64</v>
      </c>
      <c r="B71" s="8" t="s">
        <v>82</v>
      </c>
      <c r="C71" s="8"/>
      <c r="D71" s="66"/>
      <c r="E71" s="66"/>
      <c r="F71" s="13"/>
      <c r="G71" s="13"/>
      <c r="H71" s="67">
        <f>H67</f>
        <v>103.53</v>
      </c>
    </row>
    <row r="72" spans="1:13" ht="15.75" x14ac:dyDescent="0.25">
      <c r="A72" s="63"/>
      <c r="B72" s="126" t="s">
        <v>45</v>
      </c>
      <c r="C72" s="126"/>
      <c r="D72" s="126"/>
      <c r="E72" s="126"/>
      <c r="F72" s="64"/>
      <c r="G72" s="64"/>
      <c r="H72" s="65">
        <f>SUM(H69:H71)</f>
        <v>837.84626466400005</v>
      </c>
    </row>
    <row r="73" spans="1:13" ht="15.75" x14ac:dyDescent="0.25">
      <c r="A73" s="68">
        <v>3</v>
      </c>
      <c r="B73" s="267" t="s">
        <v>83</v>
      </c>
      <c r="C73" s="267"/>
      <c r="D73" s="267"/>
      <c r="E73" s="267"/>
      <c r="F73" s="267"/>
      <c r="G73" s="267"/>
      <c r="H73" s="267"/>
    </row>
    <row r="74" spans="1:13" ht="15.75" x14ac:dyDescent="0.25">
      <c r="A74" s="1" t="s">
        <v>4</v>
      </c>
      <c r="B74" s="48" t="s">
        <v>84</v>
      </c>
      <c r="C74" s="48"/>
      <c r="D74" s="69"/>
      <c r="E74" s="69"/>
      <c r="F74" s="69"/>
      <c r="G74" s="45">
        <v>4.1999999999999997E-3</v>
      </c>
      <c r="H74" s="28">
        <f>SUM($H$38*G74)</f>
        <v>4.7632619999999992</v>
      </c>
      <c r="I74" s="115"/>
    </row>
    <row r="75" spans="1:13" ht="15.75" x14ac:dyDescent="0.25">
      <c r="A75" s="1" t="s">
        <v>7</v>
      </c>
      <c r="B75" s="48" t="s">
        <v>85</v>
      </c>
      <c r="C75" s="48"/>
      <c r="D75" s="27"/>
      <c r="E75" s="27"/>
      <c r="F75" s="28"/>
      <c r="G75" s="45">
        <f>G74*0.08</f>
        <v>3.3599999999999998E-4</v>
      </c>
      <c r="H75" s="28">
        <f>SUM($H$38*G75)</f>
        <v>0.38106095999999995</v>
      </c>
    </row>
    <row r="76" spans="1:13" ht="15.75" x14ac:dyDescent="0.25">
      <c r="A76" s="1" t="s">
        <v>9</v>
      </c>
      <c r="B76" s="48" t="s">
        <v>86</v>
      </c>
      <c r="C76" s="48"/>
      <c r="D76" s="70"/>
      <c r="E76" s="70"/>
      <c r="F76" s="70"/>
      <c r="G76" s="71">
        <v>2.0000000000000001E-4</v>
      </c>
      <c r="H76" s="72">
        <f>(ROUND(SUM($H$38*G76),2))</f>
        <v>0.23</v>
      </c>
    </row>
    <row r="77" spans="1:13" ht="15.75" x14ac:dyDescent="0.25">
      <c r="A77" s="1" t="s">
        <v>17</v>
      </c>
      <c r="B77" s="27" t="s">
        <v>87</v>
      </c>
      <c r="C77" s="27"/>
      <c r="D77" s="69"/>
      <c r="E77" s="69"/>
      <c r="F77" s="69"/>
      <c r="G77" s="45">
        <v>1.9400000000000001E-2</v>
      </c>
      <c r="H77" s="28">
        <f>SUM($H$38*G77)</f>
        <v>22.001733999999999</v>
      </c>
      <c r="I77" s="115"/>
    </row>
    <row r="78" spans="1:13" ht="15.75" x14ac:dyDescent="0.25">
      <c r="A78" s="1" t="s">
        <v>40</v>
      </c>
      <c r="B78" s="48" t="s">
        <v>226</v>
      </c>
      <c r="C78" s="48"/>
      <c r="D78" s="27"/>
      <c r="E78" s="27"/>
      <c r="F78" s="28"/>
      <c r="G78" s="45">
        <f>G77*G54</f>
        <v>7.1392000000000027E-3</v>
      </c>
      <c r="H78" s="28">
        <f>SUM($H$38*G78)</f>
        <v>8.0966381120000026</v>
      </c>
    </row>
    <row r="79" spans="1:13" ht="15.75" x14ac:dyDescent="0.25">
      <c r="A79" s="1" t="s">
        <v>42</v>
      </c>
      <c r="B79" s="27" t="s">
        <v>89</v>
      </c>
      <c r="C79" s="27"/>
      <c r="D79" s="70"/>
      <c r="E79" s="70"/>
      <c r="F79" s="70"/>
      <c r="G79" s="52">
        <v>1E-4</v>
      </c>
      <c r="H79" s="28">
        <f>SUM($H$38*G79)</f>
        <v>0.113411</v>
      </c>
    </row>
    <row r="80" spans="1:13" ht="15.75" x14ac:dyDescent="0.25">
      <c r="A80" s="73"/>
      <c r="B80" s="55" t="s">
        <v>45</v>
      </c>
      <c r="C80" s="55"/>
      <c r="D80" s="41"/>
      <c r="E80" s="41"/>
      <c r="F80" s="74"/>
      <c r="G80" s="57">
        <f>SUM(G74:G79)</f>
        <v>3.1375200000000006E-2</v>
      </c>
      <c r="H80" s="58">
        <f>SUM(H74:H79)</f>
        <v>35.586106072</v>
      </c>
    </row>
    <row r="81" spans="1:9" ht="15.75" x14ac:dyDescent="0.25">
      <c r="A81" s="44">
        <v>4</v>
      </c>
      <c r="B81" s="277" t="s">
        <v>90</v>
      </c>
      <c r="C81" s="277"/>
      <c r="D81" s="277"/>
      <c r="E81" s="277"/>
      <c r="F81" s="277"/>
      <c r="G81" s="277"/>
      <c r="H81" s="277"/>
    </row>
    <row r="82" spans="1:9" ht="15.75" x14ac:dyDescent="0.25">
      <c r="A82" s="75" t="s">
        <v>91</v>
      </c>
      <c r="B82" s="269" t="s">
        <v>237</v>
      </c>
      <c r="C82" s="269"/>
      <c r="D82" s="269"/>
      <c r="E82" s="269"/>
      <c r="F82" s="269"/>
      <c r="G82" s="269"/>
      <c r="H82" s="269"/>
    </row>
    <row r="83" spans="1:9" ht="15.75" x14ac:dyDescent="0.25">
      <c r="A83" s="12" t="s">
        <v>4</v>
      </c>
      <c r="B83" s="51" t="s">
        <v>227</v>
      </c>
      <c r="C83" s="51"/>
      <c r="D83" s="53"/>
      <c r="E83" s="53"/>
      <c r="F83" s="53"/>
      <c r="G83" s="45">
        <f>(G41+G42)/12</f>
        <v>1.7024999999999998E-2</v>
      </c>
      <c r="H83" s="28"/>
    </row>
    <row r="84" spans="1:9" ht="15.75" x14ac:dyDescent="0.25">
      <c r="A84" s="123" t="s">
        <v>7</v>
      </c>
      <c r="B84" s="51" t="s">
        <v>228</v>
      </c>
      <c r="C84" s="268" t="s">
        <v>95</v>
      </c>
      <c r="D84" s="76">
        <v>1</v>
      </c>
      <c r="E84" s="268" t="s">
        <v>96</v>
      </c>
      <c r="F84" s="77">
        <v>1</v>
      </c>
      <c r="G84" s="45">
        <f t="shared" ref="G84:G89" si="1">D84/360*F84</f>
        <v>2.7777777777777779E-3</v>
      </c>
      <c r="H84" s="28">
        <f t="shared" ref="H84:H88" si="2">SUM(H$38*G84)</f>
        <v>3.1503055555555552</v>
      </c>
    </row>
    <row r="85" spans="1:9" ht="15.75" x14ac:dyDescent="0.25">
      <c r="A85" s="12" t="s">
        <v>9</v>
      </c>
      <c r="B85" s="51" t="s">
        <v>229</v>
      </c>
      <c r="C85" s="268"/>
      <c r="D85" s="76">
        <v>20</v>
      </c>
      <c r="E85" s="268"/>
      <c r="F85" s="77">
        <v>1.4999999999999999E-2</v>
      </c>
      <c r="G85" s="45">
        <f t="shared" si="1"/>
        <v>8.3333333333333328E-4</v>
      </c>
      <c r="H85" s="28">
        <f t="shared" si="2"/>
        <v>0.94509166666666655</v>
      </c>
    </row>
    <row r="86" spans="1:9" ht="15.75" x14ac:dyDescent="0.25">
      <c r="A86" s="12" t="s">
        <v>17</v>
      </c>
      <c r="B86" s="51" t="s">
        <v>230</v>
      </c>
      <c r="C86" s="268"/>
      <c r="D86" s="76">
        <v>15</v>
      </c>
      <c r="E86" s="268"/>
      <c r="F86" s="78">
        <v>1.3299999999999999E-2</v>
      </c>
      <c r="G86" s="45">
        <f t="shared" si="1"/>
        <v>5.5416666666666657E-4</v>
      </c>
      <c r="H86" s="28">
        <f t="shared" si="2"/>
        <v>0.62848595833333321</v>
      </c>
    </row>
    <row r="87" spans="1:9" ht="15.75" x14ac:dyDescent="0.25">
      <c r="A87" s="12" t="s">
        <v>40</v>
      </c>
      <c r="B87" s="51" t="s">
        <v>231</v>
      </c>
      <c r="C87" s="268"/>
      <c r="D87" s="76">
        <v>180</v>
      </c>
      <c r="E87" s="268"/>
      <c r="F87" s="77">
        <v>1.8599999999999998E-2</v>
      </c>
      <c r="G87" s="45">
        <f t="shared" si="1"/>
        <v>9.2999999999999992E-3</v>
      </c>
      <c r="H87" s="28">
        <f t="shared" si="2"/>
        <v>10.547222999999999</v>
      </c>
    </row>
    <row r="88" spans="1:9" ht="15.75" x14ac:dyDescent="0.25">
      <c r="A88" s="12" t="s">
        <v>42</v>
      </c>
      <c r="B88" s="51" t="s">
        <v>232</v>
      </c>
      <c r="C88" s="268"/>
      <c r="D88" s="79">
        <v>5</v>
      </c>
      <c r="E88" s="268"/>
      <c r="F88" s="80">
        <v>1</v>
      </c>
      <c r="G88" s="45">
        <f t="shared" si="1"/>
        <v>1.3888888888888888E-2</v>
      </c>
      <c r="H88" s="81">
        <f t="shared" si="2"/>
        <v>15.751527777777776</v>
      </c>
    </row>
    <row r="89" spans="1:9" ht="15.75" x14ac:dyDescent="0.25">
      <c r="A89" s="12" t="s">
        <v>61</v>
      </c>
      <c r="B89" s="51" t="s">
        <v>101</v>
      </c>
      <c r="C89" s="268"/>
      <c r="D89" s="79"/>
      <c r="E89" s="268"/>
      <c r="F89" s="82"/>
      <c r="G89" s="45">
        <f t="shared" si="1"/>
        <v>0</v>
      </c>
      <c r="H89" s="81"/>
    </row>
    <row r="90" spans="1:9" ht="15.75" x14ac:dyDescent="0.25">
      <c r="A90" s="19"/>
      <c r="B90" s="6" t="s">
        <v>102</v>
      </c>
      <c r="C90" s="6"/>
      <c r="D90" s="27"/>
      <c r="E90" s="27"/>
      <c r="F90" s="28"/>
      <c r="G90" s="45">
        <f>SUM(G83:G89)</f>
        <v>4.4379166666666664E-2</v>
      </c>
      <c r="H90" s="28">
        <f>SUM(H83:H89)</f>
        <v>31.02263395833333</v>
      </c>
      <c r="I90" s="115">
        <f>SUM(H84:H90)*G54</f>
        <v>22.832658593333338</v>
      </c>
    </row>
    <row r="91" spans="1:9" ht="15.75" x14ac:dyDescent="0.25">
      <c r="A91" s="12" t="s">
        <v>42</v>
      </c>
      <c r="B91" s="51" t="s">
        <v>103</v>
      </c>
      <c r="C91" s="51"/>
      <c r="D91" s="27"/>
      <c r="E91" s="27"/>
      <c r="F91" s="28"/>
      <c r="G91" s="45">
        <f>G90*G54</f>
        <v>1.6331533333333335E-2</v>
      </c>
      <c r="H91" s="28">
        <f>SUM(H90*G54)</f>
        <v>11.416329296666669</v>
      </c>
    </row>
    <row r="92" spans="1:9" ht="15.75" x14ac:dyDescent="0.25">
      <c r="A92" s="73"/>
      <c r="B92" s="55" t="s">
        <v>45</v>
      </c>
      <c r="C92" s="55"/>
      <c r="D92" s="41"/>
      <c r="E92" s="41"/>
      <c r="F92" s="74"/>
      <c r="G92" s="57">
        <f>G91+G90</f>
        <v>6.0710699999999999E-2</v>
      </c>
      <c r="H92" s="58">
        <f>SUM(H90:H91)</f>
        <v>42.438963254999997</v>
      </c>
    </row>
    <row r="93" spans="1:9" ht="15.75" x14ac:dyDescent="0.25">
      <c r="A93" s="75" t="s">
        <v>104</v>
      </c>
      <c r="B93" s="269" t="s">
        <v>233</v>
      </c>
      <c r="C93" s="269"/>
      <c r="D93" s="269"/>
      <c r="E93" s="269"/>
      <c r="F93" s="269"/>
      <c r="G93" s="269"/>
      <c r="H93" s="269"/>
    </row>
    <row r="94" spans="1:9" ht="15.75" x14ac:dyDescent="0.25">
      <c r="A94" s="12" t="s">
        <v>4</v>
      </c>
      <c r="B94" s="51" t="s">
        <v>235</v>
      </c>
      <c r="C94" s="51"/>
      <c r="D94" s="53"/>
      <c r="E94" s="53"/>
      <c r="F94" s="53"/>
      <c r="G94" s="52">
        <v>0</v>
      </c>
      <c r="H94" s="28">
        <f>SUM(H$38*G94)</f>
        <v>0</v>
      </c>
    </row>
    <row r="95" spans="1:9" ht="15.75" x14ac:dyDescent="0.25">
      <c r="A95" s="12" t="s">
        <v>7</v>
      </c>
      <c r="B95" s="51" t="s">
        <v>107</v>
      </c>
      <c r="C95" s="51"/>
      <c r="D95" s="53"/>
      <c r="E95" s="53"/>
      <c r="F95" s="53"/>
      <c r="G95" s="45">
        <f>G94*G54</f>
        <v>0</v>
      </c>
      <c r="H95" s="28">
        <f>SUM($H$38*G95)</f>
        <v>0</v>
      </c>
    </row>
    <row r="96" spans="1:9" ht="15.75" x14ac:dyDescent="0.25">
      <c r="A96" s="73"/>
      <c r="B96" s="55" t="s">
        <v>45</v>
      </c>
      <c r="C96" s="55"/>
      <c r="D96" s="41"/>
      <c r="E96" s="41"/>
      <c r="F96" s="74"/>
      <c r="G96" s="57">
        <f>G95+G94</f>
        <v>0</v>
      </c>
      <c r="H96" s="58">
        <f>SUM(H94:H95)</f>
        <v>0</v>
      </c>
    </row>
    <row r="97" spans="1:10" ht="15.75" x14ac:dyDescent="0.25">
      <c r="A97" s="269" t="s">
        <v>108</v>
      </c>
      <c r="B97" s="269"/>
      <c r="C97" s="269"/>
      <c r="D97" s="269"/>
      <c r="E97" s="269"/>
      <c r="F97" s="269"/>
      <c r="G97" s="269"/>
      <c r="H97" s="269"/>
    </row>
    <row r="98" spans="1:10" ht="15.75" x14ac:dyDescent="0.25">
      <c r="A98" s="12" t="s">
        <v>91</v>
      </c>
      <c r="B98" s="51" t="s">
        <v>236</v>
      </c>
      <c r="C98" s="51"/>
      <c r="D98" s="53"/>
      <c r="E98" s="53"/>
      <c r="F98" s="53"/>
      <c r="G98" s="45">
        <f>G92</f>
        <v>6.0710699999999999E-2</v>
      </c>
      <c r="H98" s="28">
        <f>H92</f>
        <v>42.438963254999997</v>
      </c>
    </row>
    <row r="99" spans="1:10" ht="15.75" x14ac:dyDescent="0.25">
      <c r="A99" s="12" t="s">
        <v>104</v>
      </c>
      <c r="B99" s="51" t="s">
        <v>234</v>
      </c>
      <c r="C99" s="51"/>
      <c r="D99" s="53"/>
      <c r="E99" s="53"/>
      <c r="F99" s="53"/>
      <c r="G99" s="45">
        <f>G96</f>
        <v>0</v>
      </c>
      <c r="H99" s="28">
        <f>H96</f>
        <v>0</v>
      </c>
    </row>
    <row r="100" spans="1:10" ht="15.75" x14ac:dyDescent="0.25">
      <c r="A100" s="73"/>
      <c r="B100" s="55" t="s">
        <v>45</v>
      </c>
      <c r="C100" s="55"/>
      <c r="D100" s="41"/>
      <c r="E100" s="41"/>
      <c r="F100" s="74"/>
      <c r="G100" s="57">
        <f>G96+G92</f>
        <v>6.0710699999999999E-2</v>
      </c>
      <c r="H100" s="58">
        <f>SUM(H98:H99)</f>
        <v>42.438963254999997</v>
      </c>
    </row>
    <row r="101" spans="1:10" ht="15.75" x14ac:dyDescent="0.25">
      <c r="A101" s="83">
        <v>5</v>
      </c>
      <c r="B101" s="269" t="s">
        <v>110</v>
      </c>
      <c r="C101" s="269"/>
      <c r="D101" s="269"/>
      <c r="E101" s="269"/>
      <c r="F101" s="269"/>
      <c r="G101" s="269"/>
      <c r="H101" s="269"/>
    </row>
    <row r="102" spans="1:10" ht="15.75" x14ac:dyDescent="0.25">
      <c r="A102" s="12" t="s">
        <v>4</v>
      </c>
      <c r="B102" s="13" t="s">
        <v>111</v>
      </c>
      <c r="C102" s="13"/>
      <c r="D102" s="84"/>
      <c r="E102" s="27"/>
      <c r="F102" s="85"/>
      <c r="G102" s="85"/>
      <c r="H102" s="85">
        <v>36.590000000000003</v>
      </c>
    </row>
    <row r="103" spans="1:10" ht="15.75" x14ac:dyDescent="0.25">
      <c r="A103" s="12" t="s">
        <v>7</v>
      </c>
      <c r="B103" s="13" t="s">
        <v>112</v>
      </c>
      <c r="C103" s="13"/>
      <c r="D103" s="84"/>
      <c r="E103" s="27"/>
      <c r="F103" s="85"/>
      <c r="G103" s="85"/>
      <c r="H103" s="85" t="s">
        <v>238</v>
      </c>
    </row>
    <row r="104" spans="1:10" ht="15.75" x14ac:dyDescent="0.25">
      <c r="A104" s="12" t="s">
        <v>9</v>
      </c>
      <c r="B104" s="13" t="s">
        <v>113</v>
      </c>
      <c r="C104" s="13"/>
      <c r="D104" s="84"/>
      <c r="E104" s="27"/>
      <c r="F104" s="85"/>
      <c r="G104" s="85"/>
      <c r="H104" s="85">
        <v>5.47</v>
      </c>
    </row>
    <row r="105" spans="1:10" ht="15.75" x14ac:dyDescent="0.25">
      <c r="A105" s="12" t="s">
        <v>17</v>
      </c>
      <c r="B105" s="13" t="s">
        <v>164</v>
      </c>
      <c r="C105" s="13"/>
      <c r="D105" s="84"/>
      <c r="E105" s="27"/>
      <c r="F105" s="85"/>
      <c r="G105" s="85"/>
      <c r="H105" s="85">
        <v>15.14</v>
      </c>
    </row>
    <row r="106" spans="1:10" ht="15.75" x14ac:dyDescent="0.25">
      <c r="A106" s="12" t="s">
        <v>40</v>
      </c>
      <c r="B106" s="13" t="s">
        <v>101</v>
      </c>
      <c r="C106" s="13"/>
      <c r="D106" s="84"/>
      <c r="E106" s="27"/>
      <c r="F106" s="85"/>
      <c r="G106" s="85"/>
      <c r="H106" s="85">
        <v>0</v>
      </c>
    </row>
    <row r="107" spans="1:10" ht="15.75" x14ac:dyDescent="0.25">
      <c r="A107" s="73"/>
      <c r="B107" s="55" t="s">
        <v>45</v>
      </c>
      <c r="C107" s="55"/>
      <c r="D107" s="41"/>
      <c r="E107" s="41"/>
      <c r="F107" s="74"/>
      <c r="G107" s="57"/>
      <c r="H107" s="58">
        <f>SUM(H102:H106)</f>
        <v>57.2</v>
      </c>
    </row>
    <row r="108" spans="1:10" ht="15.75" x14ac:dyDescent="0.25">
      <c r="A108" s="83">
        <v>6</v>
      </c>
      <c r="B108" s="269" t="s">
        <v>114</v>
      </c>
      <c r="C108" s="269"/>
      <c r="D108" s="269"/>
      <c r="E108" s="269"/>
      <c r="F108" s="269"/>
      <c r="G108" s="269"/>
      <c r="H108" s="269"/>
    </row>
    <row r="109" spans="1:10" ht="15.75" x14ac:dyDescent="0.25">
      <c r="A109" s="86" t="s">
        <v>4</v>
      </c>
      <c r="B109" s="27"/>
      <c r="C109" s="27"/>
      <c r="D109" s="27"/>
      <c r="E109" s="27"/>
      <c r="F109" s="27" t="s">
        <v>115</v>
      </c>
      <c r="G109" s="52">
        <v>0.01</v>
      </c>
      <c r="H109" s="28">
        <f>G109*H124</f>
        <v>21.071813339909994</v>
      </c>
    </row>
    <row r="110" spans="1:10" ht="15.75" x14ac:dyDescent="0.25">
      <c r="A110" s="86" t="s">
        <v>7</v>
      </c>
      <c r="B110" s="27"/>
      <c r="C110" s="27"/>
      <c r="D110" s="27"/>
      <c r="E110" s="27"/>
      <c r="F110" s="12" t="s">
        <v>116</v>
      </c>
      <c r="G110" s="52">
        <v>0.01</v>
      </c>
      <c r="H110" s="28">
        <f>(H109+H124)*$G$110</f>
        <v>21.282531473309096</v>
      </c>
    </row>
    <row r="111" spans="1:10" ht="15.75" x14ac:dyDescent="0.25">
      <c r="A111" s="86" t="s">
        <v>9</v>
      </c>
      <c r="B111" s="27"/>
      <c r="C111" s="27"/>
      <c r="D111" s="27"/>
      <c r="E111" s="27"/>
      <c r="F111" s="12" t="s">
        <v>117</v>
      </c>
      <c r="G111" s="87">
        <f>SUM(G112:G116)</f>
        <v>8.6499999999999994E-2</v>
      </c>
      <c r="H111" s="28">
        <f>H113+H114+H116</f>
        <v>203.54114528359599</v>
      </c>
    </row>
    <row r="112" spans="1:10" ht="15.75" x14ac:dyDescent="0.25">
      <c r="A112" s="86" t="s">
        <v>118</v>
      </c>
      <c r="B112" s="27"/>
      <c r="C112" s="27"/>
      <c r="D112" s="27"/>
      <c r="E112" s="27"/>
      <c r="F112" s="88" t="s">
        <v>119</v>
      </c>
      <c r="G112" s="45">
        <v>0</v>
      </c>
      <c r="H112" s="28"/>
      <c r="J112" s="120"/>
    </row>
    <row r="113" spans="1:10" ht="15.75" x14ac:dyDescent="0.25">
      <c r="A113" s="86" t="s">
        <v>120</v>
      </c>
      <c r="B113" s="27"/>
      <c r="C113" s="27"/>
      <c r="D113" s="27"/>
      <c r="E113" s="27"/>
      <c r="F113" s="88" t="s">
        <v>121</v>
      </c>
      <c r="G113" s="52">
        <v>6.4999999999999997E-3</v>
      </c>
      <c r="H113" s="28">
        <f>((H109+H110+H124)/0.9135)*G113</f>
        <v>15.294999356570795</v>
      </c>
    </row>
    <row r="114" spans="1:10" ht="15.75" x14ac:dyDescent="0.25">
      <c r="A114" s="86" t="s">
        <v>122</v>
      </c>
      <c r="B114" s="27"/>
      <c r="C114" s="27"/>
      <c r="D114" s="27"/>
      <c r="E114" s="27"/>
      <c r="F114" s="88" t="s">
        <v>123</v>
      </c>
      <c r="G114" s="52">
        <v>0.03</v>
      </c>
      <c r="H114" s="28">
        <f>((H109+H110+H124)/0.9135)*G114</f>
        <v>70.592304722634438</v>
      </c>
    </row>
    <row r="115" spans="1:10" ht="15.75" x14ac:dyDescent="0.25">
      <c r="A115" s="86" t="s">
        <v>124</v>
      </c>
      <c r="B115" s="27"/>
      <c r="C115" s="27"/>
      <c r="D115" s="27"/>
      <c r="E115" s="27"/>
      <c r="F115" s="88" t="s">
        <v>125</v>
      </c>
      <c r="G115" s="45">
        <v>0</v>
      </c>
      <c r="H115" s="28"/>
    </row>
    <row r="116" spans="1:10" ht="15.75" x14ac:dyDescent="0.25">
      <c r="A116" s="86" t="s">
        <v>126</v>
      </c>
      <c r="B116" s="27"/>
      <c r="C116" s="27"/>
      <c r="D116" s="27"/>
      <c r="E116" s="27"/>
      <c r="F116" s="88" t="s">
        <v>127</v>
      </c>
      <c r="G116" s="45">
        <v>0.05</v>
      </c>
      <c r="H116" s="28">
        <f>((H109+H110+H124)/0.9135)*G116</f>
        <v>117.65384120439074</v>
      </c>
    </row>
    <row r="117" spans="1:10" ht="15.75" x14ac:dyDescent="0.25">
      <c r="A117" s="73"/>
      <c r="B117" s="55" t="s">
        <v>45</v>
      </c>
      <c r="C117" s="55"/>
      <c r="D117" s="41"/>
      <c r="E117" s="41"/>
      <c r="F117" s="74"/>
      <c r="G117" s="57">
        <f>G111+G110+G109</f>
        <v>0.10649999999999998</v>
      </c>
      <c r="H117" s="58">
        <f>H109+H110+H111</f>
        <v>245.89549009681508</v>
      </c>
    </row>
    <row r="118" spans="1:10" ht="15.75" x14ac:dyDescent="0.25">
      <c r="A118" s="89"/>
      <c r="B118" s="267" t="s">
        <v>128</v>
      </c>
      <c r="C118" s="267"/>
      <c r="D118" s="267"/>
      <c r="E118" s="267"/>
      <c r="F118" s="267"/>
      <c r="G118" s="267"/>
      <c r="H118" s="267"/>
    </row>
    <row r="119" spans="1:10" ht="15.75" x14ac:dyDescent="0.25">
      <c r="A119" s="90" t="s">
        <v>4</v>
      </c>
      <c r="B119" s="27" t="s">
        <v>30</v>
      </c>
      <c r="C119" s="27"/>
      <c r="D119" s="27"/>
      <c r="E119" s="27"/>
      <c r="F119" s="28"/>
      <c r="G119" s="45">
        <f>SUM(H119/H$126)</f>
        <v>0.48196896437482228</v>
      </c>
      <c r="H119" s="28">
        <f>SUM(H38)</f>
        <v>1134.1099999999999</v>
      </c>
    </row>
    <row r="120" spans="1:10" ht="15.75" x14ac:dyDescent="0.25">
      <c r="A120" s="90" t="s">
        <v>7</v>
      </c>
      <c r="B120" s="27" t="s">
        <v>129</v>
      </c>
      <c r="C120" s="27"/>
      <c r="D120" s="27"/>
      <c r="E120" s="27"/>
      <c r="F120" s="28"/>
      <c r="G120" s="45">
        <f>SUM(H120/H$126)</f>
        <v>0.3560641353002984</v>
      </c>
      <c r="H120" s="28">
        <f>H72</f>
        <v>837.84626466400005</v>
      </c>
    </row>
    <row r="121" spans="1:10" ht="15.75" x14ac:dyDescent="0.25">
      <c r="A121" s="90" t="s">
        <v>9</v>
      </c>
      <c r="B121" s="27" t="s">
        <v>130</v>
      </c>
      <c r="C121" s="27"/>
      <c r="D121" s="27"/>
      <c r="E121" s="27"/>
      <c r="F121" s="28"/>
      <c r="G121" s="45">
        <f>SUM(H121/H$126)</f>
        <v>1.5123223223192121E-2</v>
      </c>
      <c r="H121" s="28">
        <f>H80</f>
        <v>35.586106072</v>
      </c>
    </row>
    <row r="122" spans="1:10" ht="15.75" x14ac:dyDescent="0.25">
      <c r="A122" s="90" t="s">
        <v>17</v>
      </c>
      <c r="B122" s="27" t="s">
        <v>131</v>
      </c>
      <c r="C122" s="27"/>
      <c r="D122" s="27"/>
      <c r="E122" s="27"/>
      <c r="F122" s="28"/>
      <c r="G122" s="45">
        <f>SUM(H122/H$126)</f>
        <v>1.8035519631388039E-2</v>
      </c>
      <c r="H122" s="28">
        <f>H100</f>
        <v>42.438963254999997</v>
      </c>
      <c r="J122" s="115">
        <f>H109+H110+H124</f>
        <v>2149.5356788042186</v>
      </c>
    </row>
    <row r="123" spans="1:10" ht="15.75" x14ac:dyDescent="0.25">
      <c r="A123" s="90" t="s">
        <v>40</v>
      </c>
      <c r="B123" s="27" t="s">
        <v>110</v>
      </c>
      <c r="C123" s="27"/>
      <c r="D123" s="27"/>
      <c r="E123" s="27"/>
      <c r="F123" s="28"/>
      <c r="G123" s="45">
        <f>H123/H126</f>
        <v>2.4308598603521563E-2</v>
      </c>
      <c r="H123" s="28">
        <f>H107</f>
        <v>57.2</v>
      </c>
      <c r="J123" s="115">
        <f>J122/0.9135</f>
        <v>2353.0768240878147</v>
      </c>
    </row>
    <row r="124" spans="1:10" ht="15.75" x14ac:dyDescent="0.25">
      <c r="A124" s="90"/>
      <c r="B124" s="27" t="s">
        <v>132</v>
      </c>
      <c r="C124" s="27"/>
      <c r="D124" s="27"/>
      <c r="E124" s="27"/>
      <c r="F124" s="28"/>
      <c r="G124" s="45">
        <f>SUM(G119:G123)</f>
        <v>0.89550044113322236</v>
      </c>
      <c r="H124" s="28">
        <f>SUM(H119:H123)</f>
        <v>2107.1813339909995</v>
      </c>
    </row>
    <row r="125" spans="1:10" ht="15.75" x14ac:dyDescent="0.25">
      <c r="A125" s="90" t="s">
        <v>40</v>
      </c>
      <c r="B125" s="27" t="s">
        <v>133</v>
      </c>
      <c r="C125" s="27"/>
      <c r="D125" s="27"/>
      <c r="E125" s="27"/>
      <c r="F125" s="28"/>
      <c r="G125" s="45">
        <f>SUM(H125/H$126)</f>
        <v>0.10449955886677778</v>
      </c>
      <c r="H125" s="28">
        <f>H117</f>
        <v>245.89549009681508</v>
      </c>
    </row>
    <row r="126" spans="1:10" ht="15.75" x14ac:dyDescent="0.25">
      <c r="A126" s="55"/>
      <c r="B126" s="55" t="s">
        <v>134</v>
      </c>
      <c r="C126" s="55"/>
      <c r="D126" s="55"/>
      <c r="E126" s="55"/>
      <c r="F126" s="55"/>
      <c r="G126" s="55">
        <f>SUM(G124+G125)</f>
        <v>1.0000000000000002</v>
      </c>
      <c r="H126" s="91">
        <f>H125+H124</f>
        <v>2353.0768240878147</v>
      </c>
    </row>
    <row r="127" spans="1:10" ht="15.75" x14ac:dyDescent="0.25">
      <c r="A127" s="92"/>
      <c r="B127" s="267" t="s">
        <v>135</v>
      </c>
      <c r="C127" s="267"/>
      <c r="D127" s="267"/>
      <c r="E127" s="267"/>
      <c r="F127" s="267"/>
      <c r="G127" s="267"/>
      <c r="H127" s="267"/>
    </row>
    <row r="128" spans="1:10" ht="47.25" x14ac:dyDescent="0.25">
      <c r="A128" s="27"/>
      <c r="B128" s="16" t="s">
        <v>20</v>
      </c>
      <c r="C128" s="16"/>
      <c r="D128" s="93" t="s">
        <v>136</v>
      </c>
      <c r="E128" s="93" t="s">
        <v>137</v>
      </c>
      <c r="F128" s="94" t="s">
        <v>138</v>
      </c>
      <c r="G128" s="93" t="s">
        <v>139</v>
      </c>
      <c r="H128" s="95" t="s">
        <v>140</v>
      </c>
    </row>
    <row r="129" spans="1:8" ht="15.75" x14ac:dyDescent="0.25">
      <c r="A129" s="27"/>
      <c r="B129" s="3" t="s">
        <v>141</v>
      </c>
      <c r="C129" s="3"/>
      <c r="D129" s="3" t="s">
        <v>142</v>
      </c>
      <c r="E129" s="96" t="s">
        <v>143</v>
      </c>
      <c r="F129" s="97" t="s">
        <v>144</v>
      </c>
      <c r="G129" s="3" t="s">
        <v>145</v>
      </c>
      <c r="H129" s="98" t="s">
        <v>146</v>
      </c>
    </row>
    <row r="130" spans="1:8" ht="15.75" x14ac:dyDescent="0.25">
      <c r="A130" s="1"/>
      <c r="B130" s="14"/>
      <c r="C130" s="14"/>
      <c r="D130" s="99">
        <f>SUM(H126)</f>
        <v>2353.0768240878147</v>
      </c>
      <c r="E130" s="100">
        <v>1</v>
      </c>
      <c r="F130" s="99">
        <f>D130*E130</f>
        <v>2353.0768240878147</v>
      </c>
      <c r="G130" s="101">
        <v>1</v>
      </c>
      <c r="H130" s="28">
        <f>E130*D130</f>
        <v>2353.0768240878147</v>
      </c>
    </row>
    <row r="131" spans="1:8" ht="15.75" x14ac:dyDescent="0.25">
      <c r="A131" s="27"/>
      <c r="B131" s="102" t="s">
        <v>147</v>
      </c>
      <c r="C131" s="102"/>
      <c r="D131" s="103"/>
      <c r="E131" s="103"/>
      <c r="F131" s="103"/>
      <c r="G131" s="103"/>
      <c r="H131" s="104">
        <f>SUM(H130)</f>
        <v>2353.0768240878147</v>
      </c>
    </row>
    <row r="132" spans="1:8" ht="15.75" x14ac:dyDescent="0.25">
      <c r="A132" s="27"/>
      <c r="B132" s="16"/>
      <c r="C132" s="16"/>
      <c r="D132" s="105"/>
      <c r="E132" s="16"/>
      <c r="F132" s="16"/>
      <c r="G132" s="16"/>
      <c r="H132" s="16"/>
    </row>
    <row r="133" spans="1:8" ht="15.75" x14ac:dyDescent="0.25">
      <c r="A133" s="83"/>
      <c r="B133" s="267" t="s">
        <v>148</v>
      </c>
      <c r="C133" s="267"/>
      <c r="D133" s="267"/>
      <c r="E133" s="267"/>
      <c r="F133" s="267"/>
      <c r="G133" s="267"/>
      <c r="H133" s="267"/>
    </row>
    <row r="134" spans="1:8" ht="15.75" x14ac:dyDescent="0.25">
      <c r="A134" s="106"/>
      <c r="B134" s="106" t="s">
        <v>149</v>
      </c>
      <c r="C134" s="106"/>
      <c r="D134" s="106"/>
      <c r="E134" s="16"/>
      <c r="F134" s="16"/>
      <c r="G134" s="16"/>
      <c r="H134" s="107" t="s">
        <v>150</v>
      </c>
    </row>
    <row r="135" spans="1:8" ht="15.75" x14ac:dyDescent="0.25">
      <c r="A135" s="108" t="s">
        <v>4</v>
      </c>
      <c r="B135" s="109" t="s">
        <v>151</v>
      </c>
      <c r="C135" s="109"/>
      <c r="D135" s="109"/>
      <c r="E135" s="13"/>
      <c r="F135" s="13"/>
      <c r="G135" s="13"/>
      <c r="H135" s="107">
        <f>D130</f>
        <v>2353.0768240878147</v>
      </c>
    </row>
    <row r="136" spans="1:8" ht="15.75" x14ac:dyDescent="0.25">
      <c r="A136" s="108" t="s">
        <v>7</v>
      </c>
      <c r="B136" s="109" t="s">
        <v>152</v>
      </c>
      <c r="C136" s="109"/>
      <c r="D136" s="109"/>
      <c r="E136" s="13"/>
      <c r="F136" s="13"/>
      <c r="G136" s="13"/>
      <c r="H136" s="107">
        <f>H131</f>
        <v>2353.0768240878147</v>
      </c>
    </row>
    <row r="137" spans="1:8" ht="15.75" x14ac:dyDescent="0.25">
      <c r="A137" s="108" t="s">
        <v>17</v>
      </c>
      <c r="B137" s="7" t="s">
        <v>153</v>
      </c>
      <c r="C137" s="7"/>
      <c r="D137" s="109"/>
      <c r="E137" s="13"/>
      <c r="F137" s="13"/>
      <c r="G137" s="100">
        <v>12</v>
      </c>
      <c r="H137" s="107">
        <f>SUM(H136*G137)</f>
        <v>28236.921889053774</v>
      </c>
    </row>
    <row r="138" spans="1:8" ht="15.75" x14ac:dyDescent="0.25">
      <c r="A138" s="6"/>
      <c r="B138" s="6"/>
      <c r="C138" s="6"/>
      <c r="D138" s="6"/>
      <c r="E138" s="6"/>
      <c r="F138" s="6"/>
      <c r="G138" s="6"/>
      <c r="H138" s="6"/>
    </row>
    <row r="140" spans="1:8" x14ac:dyDescent="0.25">
      <c r="A140" s="149" t="s">
        <v>204</v>
      </c>
      <c r="B140" s="149"/>
    </row>
    <row r="141" spans="1:8" x14ac:dyDescent="0.25">
      <c r="A141" s="149" t="s">
        <v>205</v>
      </c>
      <c r="B141" s="149"/>
    </row>
    <row r="142" spans="1:8" x14ac:dyDescent="0.25">
      <c r="A142" s="149" t="s">
        <v>206</v>
      </c>
      <c r="B142" s="149"/>
    </row>
    <row r="143" spans="1:8" x14ac:dyDescent="0.25">
      <c r="A143" s="149"/>
      <c r="B143" s="149"/>
    </row>
    <row r="144" spans="1:8" x14ac:dyDescent="0.25">
      <c r="A144" s="149" t="s">
        <v>207</v>
      </c>
      <c r="B144" s="149"/>
    </row>
    <row r="146" spans="1:6" x14ac:dyDescent="0.25">
      <c r="A146" t="s">
        <v>208</v>
      </c>
    </row>
    <row r="147" spans="1:6" x14ac:dyDescent="0.25">
      <c r="A147" s="149" t="s">
        <v>209</v>
      </c>
    </row>
    <row r="148" spans="1:6" x14ac:dyDescent="0.25">
      <c r="A148" s="149" t="s">
        <v>210</v>
      </c>
    </row>
    <row r="149" spans="1:6" x14ac:dyDescent="0.25">
      <c r="A149" s="149"/>
    </row>
    <row r="150" spans="1:6" x14ac:dyDescent="0.25">
      <c r="A150" s="149" t="s">
        <v>211</v>
      </c>
    </row>
    <row r="151" spans="1:6" x14ac:dyDescent="0.25">
      <c r="A151" s="149"/>
    </row>
    <row r="152" spans="1:6" x14ac:dyDescent="0.25">
      <c r="A152" s="149" t="s">
        <v>212</v>
      </c>
    </row>
    <row r="153" spans="1:6" x14ac:dyDescent="0.25">
      <c r="A153" s="149" t="s">
        <v>213</v>
      </c>
    </row>
    <row r="154" spans="1:6" x14ac:dyDescent="0.25">
      <c r="A154" s="149"/>
    </row>
    <row r="155" spans="1:6" x14ac:dyDescent="0.25">
      <c r="A155" s="149" t="s">
        <v>207</v>
      </c>
    </row>
    <row r="156" spans="1:6" x14ac:dyDescent="0.25">
      <c r="A156" s="149" t="s">
        <v>223</v>
      </c>
    </row>
    <row r="157" spans="1:6" x14ac:dyDescent="0.25">
      <c r="B157" s="150" t="s">
        <v>214</v>
      </c>
      <c r="C157" s="151"/>
      <c r="D157" s="151"/>
      <c r="E157" s="151"/>
      <c r="F157" s="151"/>
    </row>
    <row r="158" spans="1:6" x14ac:dyDescent="0.25">
      <c r="B158" s="150"/>
      <c r="C158" s="151"/>
      <c r="D158" s="151"/>
      <c r="E158" s="151"/>
      <c r="F158" s="151"/>
    </row>
    <row r="159" spans="1:6" x14ac:dyDescent="0.25">
      <c r="B159" s="150" t="s">
        <v>215</v>
      </c>
      <c r="C159" s="151" t="s">
        <v>216</v>
      </c>
      <c r="D159" s="151" t="s">
        <v>217</v>
      </c>
      <c r="E159" s="151" t="s">
        <v>218</v>
      </c>
      <c r="F159" s="151" t="s">
        <v>219</v>
      </c>
    </row>
    <row r="160" spans="1:6" x14ac:dyDescent="0.25">
      <c r="B160" s="150" t="s">
        <v>220</v>
      </c>
      <c r="C160" s="152">
        <v>1.6500000000000001E-2</v>
      </c>
      <c r="D160" s="152">
        <v>7.5999999999999998E-2</v>
      </c>
      <c r="E160" s="153">
        <v>0.05</v>
      </c>
      <c r="F160" s="151">
        <v>0.85750000000000004</v>
      </c>
    </row>
    <row r="161" spans="1:6" x14ac:dyDescent="0.25">
      <c r="B161" s="150" t="s">
        <v>221</v>
      </c>
      <c r="C161" s="152">
        <v>6.4999999999999997E-3</v>
      </c>
      <c r="D161" s="153">
        <v>0.03</v>
      </c>
      <c r="E161" s="153">
        <v>0.05</v>
      </c>
      <c r="F161" s="151">
        <v>0.91349999999999998</v>
      </c>
    </row>
    <row r="162" spans="1:6" x14ac:dyDescent="0.25">
      <c r="B162" s="150" t="s">
        <v>222</v>
      </c>
      <c r="C162" s="152">
        <v>4.4000000000000003E-3</v>
      </c>
      <c r="D162" s="152">
        <v>2.35E-2</v>
      </c>
      <c r="E162" s="153">
        <v>0.05</v>
      </c>
      <c r="F162" s="151">
        <v>0.92210000000000003</v>
      </c>
    </row>
    <row r="164" spans="1:6" x14ac:dyDescent="0.25">
      <c r="A164" s="155" t="s">
        <v>225</v>
      </c>
    </row>
  </sheetData>
  <mergeCells count="51">
    <mergeCell ref="B118:H118"/>
    <mergeCell ref="B127:H127"/>
    <mergeCell ref="B133:H133"/>
    <mergeCell ref="C84:C89"/>
    <mergeCell ref="E84:E89"/>
    <mergeCell ref="B93:H93"/>
    <mergeCell ref="A97:H97"/>
    <mergeCell ref="B101:H101"/>
    <mergeCell ref="B108:H108"/>
    <mergeCell ref="B82:H82"/>
    <mergeCell ref="A60:A62"/>
    <mergeCell ref="D60:D61"/>
    <mergeCell ref="E60:E61"/>
    <mergeCell ref="F60:F61"/>
    <mergeCell ref="G60:G61"/>
    <mergeCell ref="B62:E62"/>
    <mergeCell ref="B63:E63"/>
    <mergeCell ref="B67:E67"/>
    <mergeCell ref="A68:H68"/>
    <mergeCell ref="B73:H73"/>
    <mergeCell ref="B81:H81"/>
    <mergeCell ref="B55:H55"/>
    <mergeCell ref="A57:A59"/>
    <mergeCell ref="D57:D58"/>
    <mergeCell ref="E57:E58"/>
    <mergeCell ref="F57:F58"/>
    <mergeCell ref="G57:G58"/>
    <mergeCell ref="D47:E48"/>
    <mergeCell ref="E18:H18"/>
    <mergeCell ref="B19:H19"/>
    <mergeCell ref="A20:H20"/>
    <mergeCell ref="D21:H21"/>
    <mergeCell ref="D22:H22"/>
    <mergeCell ref="D24:H24"/>
    <mergeCell ref="D25:H25"/>
    <mergeCell ref="B26:H26"/>
    <mergeCell ref="B39:H39"/>
    <mergeCell ref="B40:H40"/>
    <mergeCell ref="B45:H45"/>
    <mergeCell ref="E17:H17"/>
    <mergeCell ref="A3:H3"/>
    <mergeCell ref="E4:H6"/>
    <mergeCell ref="A7:D7"/>
    <mergeCell ref="A8:H8"/>
    <mergeCell ref="D9:H9"/>
    <mergeCell ref="D10:H10"/>
    <mergeCell ref="D11:H11"/>
    <mergeCell ref="D12:H12"/>
    <mergeCell ref="A14:H14"/>
    <mergeCell ref="E15:H15"/>
    <mergeCell ref="E16:H16"/>
  </mergeCells>
  <dataValidations count="4">
    <dataValidation type="list" operator="equal" allowBlank="1" showErrorMessage="1" promptTitle="Percentual" sqref="E31">
      <formula1>$K$28:$K$31</formula1>
      <formula2>0</formula2>
    </dataValidation>
    <dataValidation type="list" operator="equal" allowBlank="1" showErrorMessage="1" sqref="D31">
      <formula1>$J$28:$J$31</formula1>
      <formula2>0</formula2>
    </dataValidation>
    <dataValidation type="list" operator="equal" allowBlank="1" showErrorMessage="1" sqref="E28">
      <formula1>$K$33:$K$34</formula1>
      <formula2>0</formula2>
    </dataValidation>
    <dataValidation type="list" operator="equal" allowBlank="1" showErrorMessage="1" sqref="D28">
      <formula1>$J$33:$J$34</formula1>
      <formula2>0</formula2>
    </dataValidation>
  </dataValidations>
  <pageMargins left="0.7" right="0.7" top="0.75" bottom="0.75" header="0.3" footer="0.3"/>
  <pageSetup scale="45" orientation="portrait" r:id="rId1"/>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63"/>
  <sheetViews>
    <sheetView topLeftCell="A116" zoomScale="60" zoomScaleNormal="60" workbookViewId="0">
      <selection activeCell="H87" sqref="H87"/>
    </sheetView>
  </sheetViews>
  <sheetFormatPr defaultRowHeight="15" x14ac:dyDescent="0.25"/>
  <cols>
    <col min="1" max="1" width="4.85546875" bestFit="1" customWidth="1"/>
    <col min="2" max="2" width="54.85546875" customWidth="1"/>
    <col min="3" max="3" width="11.5703125" customWidth="1"/>
    <col min="4" max="4" width="34" customWidth="1"/>
    <col min="5" max="5" width="18" customWidth="1"/>
    <col min="6" max="6" width="25.28515625" bestFit="1" customWidth="1"/>
    <col min="7" max="7" width="11.5703125" bestFit="1" customWidth="1"/>
    <col min="8" max="8" width="27.5703125" bestFit="1" customWidth="1"/>
    <col min="9" max="9" width="12.7109375" customWidth="1"/>
    <col min="10" max="10" width="12.5703125" bestFit="1" customWidth="1"/>
  </cols>
  <sheetData>
    <row r="1" spans="1:8" x14ac:dyDescent="0.25">
      <c r="A1" s="1"/>
      <c r="B1" s="1"/>
      <c r="C1" s="1"/>
      <c r="D1" s="1"/>
      <c r="E1" s="1"/>
      <c r="F1" s="1"/>
      <c r="G1" s="1"/>
      <c r="H1" s="2"/>
    </row>
    <row r="2" spans="1:8" ht="15.75" x14ac:dyDescent="0.25">
      <c r="A2" s="3" t="s">
        <v>240</v>
      </c>
      <c r="B2" s="3" t="s">
        <v>0</v>
      </c>
      <c r="C2" s="3"/>
      <c r="D2" s="4" t="s">
        <v>1</v>
      </c>
      <c r="E2" s="3"/>
      <c r="F2" s="3" t="s">
        <v>2</v>
      </c>
      <c r="G2" s="3"/>
      <c r="H2" s="5" t="s">
        <v>156</v>
      </c>
    </row>
    <row r="3" spans="1:8" ht="15.75" x14ac:dyDescent="0.25">
      <c r="A3" s="269" t="s">
        <v>3</v>
      </c>
      <c r="B3" s="269"/>
      <c r="C3" s="269"/>
      <c r="D3" s="269"/>
      <c r="E3" s="269"/>
      <c r="F3" s="269"/>
      <c r="G3" s="269"/>
      <c r="H3" s="269"/>
    </row>
    <row r="4" spans="1:8" ht="15.75" x14ac:dyDescent="0.25">
      <c r="A4" s="6" t="s">
        <v>4</v>
      </c>
      <c r="B4" s="7" t="s">
        <v>5</v>
      </c>
      <c r="C4" s="7"/>
      <c r="D4" s="8"/>
      <c r="E4" s="287" t="s">
        <v>6</v>
      </c>
      <c r="F4" s="287"/>
      <c r="G4" s="287"/>
      <c r="H4" s="287"/>
    </row>
    <row r="5" spans="1:8" ht="15.75" x14ac:dyDescent="0.25">
      <c r="A5" s="6" t="s">
        <v>7</v>
      </c>
      <c r="B5" s="7" t="s">
        <v>8</v>
      </c>
      <c r="C5" s="7"/>
      <c r="D5" s="9"/>
      <c r="E5" s="287"/>
      <c r="F5" s="287"/>
      <c r="G5" s="287"/>
      <c r="H5" s="287"/>
    </row>
    <row r="6" spans="1:8" ht="15.75" x14ac:dyDescent="0.25">
      <c r="A6" s="6" t="s">
        <v>9</v>
      </c>
      <c r="B6" s="7" t="s">
        <v>10</v>
      </c>
      <c r="C6" s="7"/>
      <c r="D6" s="10" t="s">
        <v>11</v>
      </c>
      <c r="E6" s="287"/>
      <c r="F6" s="287"/>
      <c r="G6" s="287"/>
      <c r="H6" s="287"/>
    </row>
    <row r="7" spans="1:8" ht="15.75" x14ac:dyDescent="0.25">
      <c r="A7" s="288"/>
      <c r="B7" s="288"/>
      <c r="C7" s="288"/>
      <c r="D7" s="288"/>
      <c r="E7" s="11"/>
      <c r="F7" s="11"/>
      <c r="G7" s="11"/>
      <c r="H7" s="11"/>
    </row>
    <row r="8" spans="1:8" ht="15.75" x14ac:dyDescent="0.25">
      <c r="A8" s="269" t="s">
        <v>12</v>
      </c>
      <c r="B8" s="269"/>
      <c r="C8" s="269"/>
      <c r="D8" s="269"/>
      <c r="E8" s="269"/>
      <c r="F8" s="269"/>
      <c r="G8" s="269"/>
      <c r="H8" s="269"/>
    </row>
    <row r="9" spans="1:8" x14ac:dyDescent="0.25">
      <c r="A9" s="12" t="s">
        <v>4</v>
      </c>
      <c r="B9" s="13" t="s">
        <v>13</v>
      </c>
      <c r="C9" s="13"/>
      <c r="D9" s="281" t="s">
        <v>14</v>
      </c>
      <c r="E9" s="281"/>
      <c r="F9" s="281"/>
      <c r="G9" s="281"/>
      <c r="H9" s="281"/>
    </row>
    <row r="10" spans="1:8" x14ac:dyDescent="0.25">
      <c r="A10" s="12" t="s">
        <v>7</v>
      </c>
      <c r="B10" s="13" t="s">
        <v>15</v>
      </c>
      <c r="C10" s="13"/>
      <c r="D10" s="289" t="s">
        <v>184</v>
      </c>
      <c r="E10" s="289"/>
      <c r="F10" s="289"/>
      <c r="G10" s="289"/>
      <c r="H10" s="289"/>
    </row>
    <row r="11" spans="1:8" x14ac:dyDescent="0.25">
      <c r="A11" s="12" t="s">
        <v>9</v>
      </c>
      <c r="B11" s="13" t="s">
        <v>16</v>
      </c>
      <c r="C11" s="13"/>
      <c r="D11" s="289" t="s">
        <v>174</v>
      </c>
      <c r="E11" s="289"/>
      <c r="F11" s="289"/>
      <c r="G11" s="289"/>
      <c r="H11" s="289"/>
    </row>
    <row r="12" spans="1:8" x14ac:dyDescent="0.25">
      <c r="A12" s="12" t="s">
        <v>17</v>
      </c>
      <c r="B12" s="13" t="s">
        <v>18</v>
      </c>
      <c r="C12" s="13"/>
      <c r="D12" s="289">
        <v>12</v>
      </c>
      <c r="E12" s="289"/>
      <c r="F12" s="289"/>
      <c r="G12" s="289"/>
      <c r="H12" s="289"/>
    </row>
    <row r="13" spans="1:8" x14ac:dyDescent="0.25">
      <c r="A13" s="12"/>
      <c r="B13" s="13"/>
      <c r="C13" s="13"/>
      <c r="D13" s="14"/>
      <c r="E13" s="14"/>
      <c r="F13" s="14"/>
      <c r="G13" s="14"/>
      <c r="H13" s="15"/>
    </row>
    <row r="14" spans="1:8" ht="15.75" x14ac:dyDescent="0.25">
      <c r="A14" s="269" t="s">
        <v>19</v>
      </c>
      <c r="B14" s="269"/>
      <c r="C14" s="269"/>
      <c r="D14" s="269"/>
      <c r="E14" s="269"/>
      <c r="F14" s="269"/>
      <c r="G14" s="269"/>
      <c r="H14" s="269"/>
    </row>
    <row r="15" spans="1:8" ht="15.75" x14ac:dyDescent="0.25">
      <c r="A15" s="12"/>
      <c r="B15" s="16" t="s">
        <v>20</v>
      </c>
      <c r="C15" s="16"/>
      <c r="D15" s="17" t="s">
        <v>21</v>
      </c>
      <c r="E15" s="290" t="s">
        <v>22</v>
      </c>
      <c r="F15" s="290"/>
      <c r="G15" s="290"/>
      <c r="H15" s="290"/>
    </row>
    <row r="16" spans="1:8" x14ac:dyDescent="0.25">
      <c r="A16" s="12" t="s">
        <v>4</v>
      </c>
      <c r="B16" s="18" t="s">
        <v>180</v>
      </c>
      <c r="C16" s="19"/>
      <c r="D16" s="20" t="s">
        <v>23</v>
      </c>
      <c r="E16" s="291">
        <v>1</v>
      </c>
      <c r="F16" s="291"/>
      <c r="G16" s="291"/>
      <c r="H16" s="291"/>
    </row>
    <row r="17" spans="1:13" x14ac:dyDescent="0.25">
      <c r="A17" s="12" t="s">
        <v>7</v>
      </c>
      <c r="B17" s="13"/>
      <c r="C17" s="13"/>
      <c r="D17" s="21"/>
      <c r="E17" s="279"/>
      <c r="F17" s="279"/>
      <c r="G17" s="279"/>
      <c r="H17" s="279"/>
    </row>
    <row r="18" spans="1:13" x14ac:dyDescent="0.25">
      <c r="A18" s="12" t="s">
        <v>9</v>
      </c>
      <c r="B18" s="13"/>
      <c r="C18" s="13"/>
      <c r="D18" s="21"/>
      <c r="E18" s="279"/>
      <c r="F18" s="279"/>
      <c r="G18" s="279"/>
      <c r="H18" s="279"/>
    </row>
    <row r="19" spans="1:13" ht="15.75" x14ac:dyDescent="0.25">
      <c r="A19" s="110"/>
      <c r="B19" s="269" t="s">
        <v>24</v>
      </c>
      <c r="C19" s="269"/>
      <c r="D19" s="269"/>
      <c r="E19" s="269"/>
      <c r="F19" s="269"/>
      <c r="G19" s="269"/>
      <c r="H19" s="269"/>
    </row>
    <row r="20" spans="1:13" ht="15.75" x14ac:dyDescent="0.25">
      <c r="A20" s="280" t="s">
        <v>25</v>
      </c>
      <c r="B20" s="280"/>
      <c r="C20" s="280"/>
      <c r="D20" s="280"/>
      <c r="E20" s="280"/>
      <c r="F20" s="280"/>
      <c r="G20" s="280"/>
      <c r="H20" s="280"/>
    </row>
    <row r="21" spans="1:13" x14ac:dyDescent="0.25">
      <c r="A21" s="12">
        <v>1</v>
      </c>
      <c r="B21" s="13" t="s">
        <v>20</v>
      </c>
      <c r="C21" s="13"/>
      <c r="D21" s="281" t="s">
        <v>175</v>
      </c>
      <c r="E21" s="281"/>
      <c r="F21" s="281"/>
      <c r="G21" s="281"/>
      <c r="H21" s="281"/>
    </row>
    <row r="22" spans="1:13" x14ac:dyDescent="0.25">
      <c r="A22" s="12">
        <v>2</v>
      </c>
      <c r="B22" s="13" t="s">
        <v>26</v>
      </c>
      <c r="C22" s="13"/>
      <c r="D22" s="282" t="s">
        <v>176</v>
      </c>
      <c r="E22" s="282"/>
      <c r="F22" s="282"/>
      <c r="G22" s="282"/>
      <c r="H22" s="282"/>
    </row>
    <row r="23" spans="1:13" x14ac:dyDescent="0.25">
      <c r="A23" s="12">
        <v>3</v>
      </c>
      <c r="B23" s="13" t="s">
        <v>27</v>
      </c>
      <c r="C23" s="13"/>
      <c r="D23" s="22">
        <v>988.8</v>
      </c>
      <c r="E23" s="23"/>
      <c r="F23" s="23"/>
      <c r="G23" s="23"/>
      <c r="H23" s="23"/>
    </row>
    <row r="24" spans="1:13" ht="30" x14ac:dyDescent="0.25">
      <c r="A24" s="1">
        <v>4</v>
      </c>
      <c r="B24" s="24" t="s">
        <v>28</v>
      </c>
      <c r="C24" s="24"/>
      <c r="D24" s="283" t="s">
        <v>170</v>
      </c>
      <c r="E24" s="283"/>
      <c r="F24" s="283"/>
      <c r="G24" s="283"/>
      <c r="H24" s="283"/>
    </row>
    <row r="25" spans="1:13" x14ac:dyDescent="0.25">
      <c r="A25" s="1">
        <v>5</v>
      </c>
      <c r="B25" s="25" t="s">
        <v>29</v>
      </c>
      <c r="C25" s="25"/>
      <c r="D25" s="284" t="s">
        <v>171</v>
      </c>
      <c r="E25" s="284"/>
      <c r="F25" s="284"/>
      <c r="G25" s="284"/>
      <c r="H25" s="284"/>
    </row>
    <row r="26" spans="1:13" ht="15.75" x14ac:dyDescent="0.25">
      <c r="A26" s="26">
        <v>1</v>
      </c>
      <c r="B26" s="267" t="s">
        <v>30</v>
      </c>
      <c r="C26" s="267"/>
      <c r="D26" s="267"/>
      <c r="E26" s="267"/>
      <c r="F26" s="267"/>
      <c r="G26" s="267"/>
      <c r="H26" s="267"/>
    </row>
    <row r="27" spans="1:13" ht="15.75" x14ac:dyDescent="0.25">
      <c r="A27" s="1" t="s">
        <v>4</v>
      </c>
      <c r="B27" s="27" t="s">
        <v>31</v>
      </c>
      <c r="C27" s="27"/>
      <c r="D27" s="27"/>
      <c r="G27" s="28"/>
      <c r="H27" s="29">
        <v>988.8</v>
      </c>
      <c r="M27">
        <v>111.9</v>
      </c>
    </row>
    <row r="28" spans="1:13" ht="15.75" x14ac:dyDescent="0.25">
      <c r="A28" s="1" t="s">
        <v>7</v>
      </c>
      <c r="B28" s="6" t="s">
        <v>32</v>
      </c>
      <c r="C28" s="6"/>
      <c r="D28" s="30" t="s">
        <v>33</v>
      </c>
      <c r="E28" s="31">
        <v>0</v>
      </c>
      <c r="H28" s="32">
        <f>H27*E28</f>
        <v>0</v>
      </c>
    </row>
    <row r="29" spans="1:13" ht="15.75" x14ac:dyDescent="0.25">
      <c r="A29" s="1" t="s">
        <v>9</v>
      </c>
      <c r="B29" s="6" t="s">
        <v>34</v>
      </c>
      <c r="C29" s="6"/>
      <c r="D29" s="33" t="s">
        <v>35</v>
      </c>
      <c r="E29" s="34" t="s">
        <v>36</v>
      </c>
      <c r="F29" s="33" t="s">
        <v>37</v>
      </c>
      <c r="G29" s="35"/>
      <c r="H29" s="32">
        <f>E30*F30</f>
        <v>0</v>
      </c>
    </row>
    <row r="30" spans="1:13" ht="15.75" x14ac:dyDescent="0.25">
      <c r="A30" s="1" t="s">
        <v>17</v>
      </c>
      <c r="B30" s="6" t="s">
        <v>38</v>
      </c>
      <c r="C30" s="6"/>
      <c r="D30" s="30" t="s">
        <v>39</v>
      </c>
      <c r="E30" s="36">
        <v>0</v>
      </c>
      <c r="F30" s="37">
        <v>954</v>
      </c>
      <c r="G30" s="27"/>
      <c r="H30" s="38"/>
    </row>
    <row r="31" spans="1:13" ht="15.75" x14ac:dyDescent="0.25">
      <c r="A31" s="1" t="s">
        <v>40</v>
      </c>
      <c r="B31" s="6" t="s">
        <v>41</v>
      </c>
      <c r="C31" s="6"/>
      <c r="G31" s="35"/>
      <c r="H31" s="38"/>
    </row>
    <row r="32" spans="1:13" ht="15.75" x14ac:dyDescent="0.25">
      <c r="A32" s="1" t="s">
        <v>42</v>
      </c>
      <c r="B32" s="6" t="s">
        <v>159</v>
      </c>
      <c r="C32" s="6"/>
      <c r="G32" s="35"/>
      <c r="H32" s="38"/>
    </row>
    <row r="33" spans="1:10" ht="15.75" x14ac:dyDescent="0.25">
      <c r="A33" s="1" t="s">
        <v>61</v>
      </c>
      <c r="B33" s="6" t="s">
        <v>155</v>
      </c>
      <c r="C33" s="6"/>
      <c r="G33" s="35"/>
      <c r="H33" s="38"/>
    </row>
    <row r="34" spans="1:10" ht="15.75" x14ac:dyDescent="0.25">
      <c r="A34" s="1" t="s">
        <v>43</v>
      </c>
      <c r="B34" s="8" t="s">
        <v>160</v>
      </c>
      <c r="C34" s="8"/>
      <c r="G34" s="35"/>
      <c r="H34" s="38"/>
    </row>
    <row r="35" spans="1:10" ht="15.75" x14ac:dyDescent="0.25">
      <c r="A35" s="1" t="s">
        <v>161</v>
      </c>
      <c r="B35" s="8" t="s">
        <v>162</v>
      </c>
      <c r="C35" s="8"/>
      <c r="G35" s="35"/>
      <c r="H35" s="38"/>
      <c r="J35" s="121">
        <f>SUM(H30:H35)</f>
        <v>0</v>
      </c>
    </row>
    <row r="36" spans="1:10" ht="15.75" x14ac:dyDescent="0.25">
      <c r="A36" s="1" t="s">
        <v>19</v>
      </c>
      <c r="B36" s="6" t="s">
        <v>44</v>
      </c>
      <c r="C36" s="6"/>
      <c r="D36" s="27"/>
      <c r="E36" s="27"/>
      <c r="F36" s="35"/>
      <c r="G36" s="35"/>
      <c r="H36" s="35">
        <v>0</v>
      </c>
    </row>
    <row r="37" spans="1:10" ht="15.75" x14ac:dyDescent="0.25">
      <c r="A37" s="39"/>
      <c r="B37" s="40" t="s">
        <v>45</v>
      </c>
      <c r="C37" s="40"/>
      <c r="D37" s="41"/>
      <c r="E37" s="41"/>
      <c r="F37" s="42"/>
      <c r="G37" s="42"/>
      <c r="H37" s="43">
        <f>SUM(H27:H36)</f>
        <v>988.8</v>
      </c>
    </row>
    <row r="38" spans="1:10" ht="15.75" x14ac:dyDescent="0.25">
      <c r="A38" s="44">
        <v>2</v>
      </c>
      <c r="B38" s="285" t="s">
        <v>46</v>
      </c>
      <c r="C38" s="285"/>
      <c r="D38" s="285"/>
      <c r="E38" s="285"/>
      <c r="F38" s="285"/>
      <c r="G38" s="285"/>
      <c r="H38" s="285"/>
    </row>
    <row r="39" spans="1:10" ht="15.75" x14ac:dyDescent="0.25">
      <c r="A39" s="124" t="s">
        <v>47</v>
      </c>
      <c r="B39" s="286" t="s">
        <v>48</v>
      </c>
      <c r="C39" s="286"/>
      <c r="D39" s="286"/>
      <c r="E39" s="286"/>
      <c r="F39" s="286"/>
      <c r="G39" s="286"/>
      <c r="H39" s="286"/>
    </row>
    <row r="40" spans="1:10" ht="15.75" x14ac:dyDescent="0.25">
      <c r="A40" s="1" t="s">
        <v>4</v>
      </c>
      <c r="B40" s="8" t="s">
        <v>49</v>
      </c>
      <c r="C40" s="8"/>
      <c r="D40" s="8"/>
      <c r="E40" s="27"/>
      <c r="F40" s="28"/>
      <c r="G40" s="45">
        <v>8.3299999999999999E-2</v>
      </c>
      <c r="H40" s="28">
        <f>SUM($H$37*G40)</f>
        <v>82.367039999999989</v>
      </c>
    </row>
    <row r="41" spans="1:10" ht="15.75" x14ac:dyDescent="0.25">
      <c r="A41" s="1" t="s">
        <v>7</v>
      </c>
      <c r="B41" s="27" t="s">
        <v>50</v>
      </c>
      <c r="C41" s="27"/>
      <c r="D41" s="27"/>
      <c r="E41" s="27"/>
      <c r="F41" s="46"/>
      <c r="G41" s="47">
        <v>0.121</v>
      </c>
      <c r="H41" s="28">
        <f>SUM($H$37*G41)</f>
        <v>119.64479999999999</v>
      </c>
    </row>
    <row r="42" spans="1:10" ht="15.75" x14ac:dyDescent="0.25">
      <c r="A42" s="1" t="s">
        <v>9</v>
      </c>
      <c r="B42" s="48" t="s">
        <v>51</v>
      </c>
      <c r="C42" s="48"/>
      <c r="D42" s="27"/>
      <c r="E42" s="27"/>
      <c r="F42" s="46"/>
      <c r="G42" s="47">
        <f>G41+G40*G53</f>
        <v>0.15165439999999999</v>
      </c>
      <c r="H42" s="28">
        <f>SUM(H40:H41)*G53</f>
        <v>74.340357120000007</v>
      </c>
    </row>
    <row r="43" spans="1:10" ht="15.75" x14ac:dyDescent="0.25">
      <c r="A43" s="49"/>
      <c r="B43" s="50" t="s">
        <v>45</v>
      </c>
      <c r="C43" s="40"/>
      <c r="D43" s="41"/>
      <c r="E43" s="41"/>
      <c r="F43" s="42"/>
      <c r="G43" s="42"/>
      <c r="H43" s="43">
        <f>SUM(H40:H42)</f>
        <v>276.35219711999997</v>
      </c>
    </row>
    <row r="44" spans="1:10" ht="15.75" x14ac:dyDescent="0.25">
      <c r="A44" s="110" t="s">
        <v>52</v>
      </c>
      <c r="B44" s="269" t="s">
        <v>53</v>
      </c>
      <c r="C44" s="269"/>
      <c r="D44" s="269"/>
      <c r="E44" s="269"/>
      <c r="F44" s="269"/>
      <c r="G44" s="269"/>
      <c r="H44" s="269"/>
    </row>
    <row r="45" spans="1:10" ht="15.75" x14ac:dyDescent="0.25">
      <c r="A45" s="1" t="s">
        <v>4</v>
      </c>
      <c r="B45" s="51" t="s">
        <v>54</v>
      </c>
      <c r="C45" s="51"/>
      <c r="D45" s="27"/>
      <c r="E45" s="27"/>
      <c r="F45" s="28"/>
      <c r="G45" s="45">
        <v>0.2</v>
      </c>
      <c r="H45" s="28">
        <f t="shared" ref="H45:H52" si="0">SUM($H$37*G45)</f>
        <v>197.76</v>
      </c>
    </row>
    <row r="46" spans="1:10" ht="15.75" x14ac:dyDescent="0.25">
      <c r="A46" s="1" t="s">
        <v>7</v>
      </c>
      <c r="B46" s="51" t="s">
        <v>55</v>
      </c>
      <c r="C46" s="51"/>
      <c r="D46" s="278" t="s">
        <v>56</v>
      </c>
      <c r="E46" s="278"/>
      <c r="F46" s="28"/>
      <c r="G46" s="52">
        <v>1.4999999999999999E-2</v>
      </c>
      <c r="H46" s="28">
        <f t="shared" si="0"/>
        <v>14.831999999999999</v>
      </c>
    </row>
    <row r="47" spans="1:10" ht="15.75" x14ac:dyDescent="0.25">
      <c r="A47" s="1" t="s">
        <v>9</v>
      </c>
      <c r="B47" s="51" t="s">
        <v>57</v>
      </c>
      <c r="C47" s="51"/>
      <c r="D47" s="278"/>
      <c r="E47" s="278"/>
      <c r="F47" s="28"/>
      <c r="G47" s="52">
        <v>0.01</v>
      </c>
      <c r="H47" s="28">
        <f t="shared" si="0"/>
        <v>9.8879999999999999</v>
      </c>
      <c r="I47" s="115"/>
    </row>
    <row r="48" spans="1:10" ht="15.75" x14ac:dyDescent="0.25">
      <c r="A48" s="1" t="s">
        <v>17</v>
      </c>
      <c r="B48" s="51" t="s">
        <v>58</v>
      </c>
      <c r="C48" s="51"/>
      <c r="D48" s="27"/>
      <c r="E48" s="27"/>
      <c r="F48" s="28"/>
      <c r="G48" s="52">
        <v>2E-3</v>
      </c>
      <c r="H48" s="28">
        <f t="shared" si="0"/>
        <v>1.9776</v>
      </c>
    </row>
    <row r="49" spans="1:8" ht="15.75" x14ac:dyDescent="0.25">
      <c r="A49" s="1" t="s">
        <v>40</v>
      </c>
      <c r="B49" s="51" t="s">
        <v>59</v>
      </c>
      <c r="C49" s="51"/>
      <c r="D49" s="27"/>
      <c r="E49" s="27"/>
      <c r="F49" s="28"/>
      <c r="G49" s="52">
        <v>2.5000000000000001E-2</v>
      </c>
      <c r="H49" s="28">
        <f t="shared" si="0"/>
        <v>24.72</v>
      </c>
    </row>
    <row r="50" spans="1:8" ht="15.75" x14ac:dyDescent="0.25">
      <c r="A50" s="1" t="s">
        <v>42</v>
      </c>
      <c r="B50" s="51" t="s">
        <v>60</v>
      </c>
      <c r="C50" s="51"/>
      <c r="D50" s="27"/>
      <c r="E50" s="27"/>
      <c r="F50" s="28"/>
      <c r="G50" s="45">
        <v>0.08</v>
      </c>
      <c r="H50" s="28">
        <f t="shared" si="0"/>
        <v>79.103999999999999</v>
      </c>
    </row>
    <row r="51" spans="1:8" ht="15.75" x14ac:dyDescent="0.25">
      <c r="A51" s="127" t="s">
        <v>61</v>
      </c>
      <c r="B51" s="128" t="s">
        <v>62</v>
      </c>
      <c r="C51" s="128"/>
      <c r="D51" s="129"/>
      <c r="E51" s="129"/>
      <c r="F51" s="129"/>
      <c r="G51" s="130">
        <v>0.03</v>
      </c>
      <c r="H51" s="131">
        <f t="shared" si="0"/>
        <v>29.663999999999998</v>
      </c>
    </row>
    <row r="52" spans="1:8" ht="15.75" x14ac:dyDescent="0.25">
      <c r="A52" s="1" t="s">
        <v>43</v>
      </c>
      <c r="B52" s="51" t="s">
        <v>63</v>
      </c>
      <c r="C52" s="51"/>
      <c r="D52" s="27"/>
      <c r="E52" s="27"/>
      <c r="F52" s="28"/>
      <c r="G52" s="52">
        <v>6.0000000000000001E-3</v>
      </c>
      <c r="H52" s="28">
        <f t="shared" si="0"/>
        <v>5.9327999999999994</v>
      </c>
    </row>
    <row r="53" spans="1:8" ht="15.75" x14ac:dyDescent="0.25">
      <c r="A53" s="54"/>
      <c r="B53" s="55" t="s">
        <v>45</v>
      </c>
      <c r="C53" s="55"/>
      <c r="D53" s="40"/>
      <c r="E53" s="40"/>
      <c r="F53" s="56"/>
      <c r="G53" s="57">
        <f>SUM(G45:G52)</f>
        <v>0.3680000000000001</v>
      </c>
      <c r="H53" s="58">
        <f>SUM(H45:H52)</f>
        <v>363.87839999999994</v>
      </c>
    </row>
    <row r="54" spans="1:8" ht="15.75" x14ac:dyDescent="0.25">
      <c r="A54" s="110" t="s">
        <v>64</v>
      </c>
      <c r="B54" s="269" t="s">
        <v>65</v>
      </c>
      <c r="C54" s="269"/>
      <c r="D54" s="269"/>
      <c r="E54" s="269"/>
      <c r="F54" s="269"/>
      <c r="G54" s="269"/>
      <c r="H54" s="269"/>
    </row>
    <row r="55" spans="1:8" ht="15.75" x14ac:dyDescent="0.25">
      <c r="A55" s="6" t="s">
        <v>66</v>
      </c>
      <c r="B55" s="59"/>
      <c r="C55" s="59"/>
      <c r="D55" s="60" t="s">
        <v>67</v>
      </c>
      <c r="E55" s="60" t="s">
        <v>68</v>
      </c>
      <c r="F55" s="60" t="s">
        <v>69</v>
      </c>
      <c r="G55" s="60" t="s">
        <v>70</v>
      </c>
      <c r="H55" s="6"/>
    </row>
    <row r="56" spans="1:8" ht="15.75" x14ac:dyDescent="0.25">
      <c r="A56" s="270" t="s">
        <v>4</v>
      </c>
      <c r="B56" s="6" t="s">
        <v>71</v>
      </c>
      <c r="C56" s="6"/>
      <c r="D56" s="271"/>
      <c r="E56" s="272"/>
      <c r="F56" s="273"/>
      <c r="G56" s="274"/>
      <c r="H56" s="35">
        <f>F56*E56*D56</f>
        <v>0</v>
      </c>
    </row>
    <row r="57" spans="1:8" ht="15.75" x14ac:dyDescent="0.25">
      <c r="A57" s="270"/>
      <c r="B57" s="6" t="s">
        <v>72</v>
      </c>
      <c r="C57" s="6"/>
      <c r="D57" s="271"/>
      <c r="E57" s="271"/>
      <c r="F57" s="271"/>
      <c r="G57" s="271"/>
      <c r="H57" s="35">
        <f>H27*G56</f>
        <v>0</v>
      </c>
    </row>
    <row r="58" spans="1:8" ht="15.75" x14ac:dyDescent="0.25">
      <c r="A58" s="270"/>
      <c r="B58" s="8" t="s">
        <v>73</v>
      </c>
      <c r="C58" s="8"/>
      <c r="D58" s="8"/>
      <c r="E58" s="27"/>
      <c r="F58" s="27"/>
      <c r="G58" s="61"/>
      <c r="H58" s="35">
        <f>H56-H57</f>
        <v>0</v>
      </c>
    </row>
    <row r="59" spans="1:8" ht="15.75" x14ac:dyDescent="0.25">
      <c r="A59" s="270" t="s">
        <v>7</v>
      </c>
      <c r="B59" s="6" t="s">
        <v>74</v>
      </c>
      <c r="C59" s="6"/>
      <c r="D59" s="271">
        <v>1</v>
      </c>
      <c r="E59" s="272">
        <v>1</v>
      </c>
      <c r="F59" s="273">
        <v>145.22999999999999</v>
      </c>
      <c r="G59" s="274">
        <v>0.2</v>
      </c>
      <c r="H59" s="35">
        <f>F59*E59*D59</f>
        <v>145.22999999999999</v>
      </c>
    </row>
    <row r="60" spans="1:8" ht="15.75" x14ac:dyDescent="0.25">
      <c r="A60" s="270"/>
      <c r="B60" s="6" t="s">
        <v>72</v>
      </c>
      <c r="C60" s="6"/>
      <c r="D60" s="271"/>
      <c r="E60" s="271"/>
      <c r="F60" s="271"/>
      <c r="G60" s="271"/>
      <c r="H60" s="35">
        <f>H59*G59</f>
        <v>29.045999999999999</v>
      </c>
    </row>
    <row r="61" spans="1:8" ht="15.75" x14ac:dyDescent="0.25">
      <c r="A61" s="270"/>
      <c r="B61" s="275" t="s">
        <v>75</v>
      </c>
      <c r="C61" s="275"/>
      <c r="D61" s="275"/>
      <c r="E61" s="275"/>
      <c r="F61" s="13"/>
      <c r="G61" s="13"/>
      <c r="H61" s="35">
        <f>H59-H60</f>
        <v>116.184</v>
      </c>
    </row>
    <row r="62" spans="1:8" ht="15.75" x14ac:dyDescent="0.25">
      <c r="A62" s="62" t="s">
        <v>9</v>
      </c>
      <c r="B62" s="275" t="s">
        <v>76</v>
      </c>
      <c r="C62" s="275"/>
      <c r="D62" s="275"/>
      <c r="E62" s="275"/>
      <c r="F62" s="13"/>
      <c r="G62" s="13"/>
      <c r="H62" s="35">
        <v>0</v>
      </c>
    </row>
    <row r="63" spans="1:8" ht="15.75" x14ac:dyDescent="0.25">
      <c r="A63" s="62" t="s">
        <v>17</v>
      </c>
      <c r="B63" s="117" t="s">
        <v>177</v>
      </c>
      <c r="C63" s="117"/>
      <c r="D63" s="117"/>
      <c r="E63" s="117" t="s">
        <v>163</v>
      </c>
      <c r="F63" s="13"/>
      <c r="G63" s="13"/>
      <c r="H63" s="35">
        <v>100</v>
      </c>
    </row>
    <row r="64" spans="1:8" ht="15.75" x14ac:dyDescent="0.25">
      <c r="A64" s="62" t="s">
        <v>40</v>
      </c>
      <c r="B64" s="116" t="s">
        <v>224</v>
      </c>
      <c r="C64" s="117"/>
      <c r="D64" s="117"/>
      <c r="E64" s="117"/>
      <c r="F64" s="13"/>
      <c r="G64" s="13"/>
      <c r="H64" s="35">
        <v>3.53</v>
      </c>
    </row>
    <row r="65" spans="1:13" ht="15.75" x14ac:dyDescent="0.25">
      <c r="A65" s="62" t="s">
        <v>42</v>
      </c>
      <c r="B65" s="116" t="s">
        <v>78</v>
      </c>
      <c r="C65" s="116"/>
      <c r="D65" s="116"/>
      <c r="E65" s="118">
        <v>0</v>
      </c>
      <c r="H65" s="119">
        <f>(1/12*H27)*E65</f>
        <v>0</v>
      </c>
      <c r="J65" s="125"/>
      <c r="K65" s="13"/>
      <c r="L65" s="13"/>
      <c r="M65" s="35"/>
    </row>
    <row r="66" spans="1:13" ht="15.75" x14ac:dyDescent="0.25">
      <c r="A66" s="63"/>
      <c r="B66" s="276" t="s">
        <v>45</v>
      </c>
      <c r="C66" s="276"/>
      <c r="D66" s="276"/>
      <c r="E66" s="276"/>
      <c r="F66" s="64"/>
      <c r="G66" s="64"/>
      <c r="H66" s="65">
        <f>H58+H61+H62+H63+H65+H64</f>
        <v>219.714</v>
      </c>
    </row>
    <row r="67" spans="1:13" ht="15.75" x14ac:dyDescent="0.25">
      <c r="A67" s="269" t="s">
        <v>79</v>
      </c>
      <c r="B67" s="269"/>
      <c r="C67" s="269"/>
      <c r="D67" s="269"/>
      <c r="E67" s="269"/>
      <c r="F67" s="269"/>
      <c r="G67" s="269"/>
      <c r="H67" s="269"/>
    </row>
    <row r="68" spans="1:13" ht="15.75" x14ac:dyDescent="0.25">
      <c r="A68" s="62" t="s">
        <v>47</v>
      </c>
      <c r="B68" s="8" t="s">
        <v>80</v>
      </c>
      <c r="C68" s="8"/>
      <c r="D68" s="66"/>
      <c r="E68" s="66"/>
      <c r="F68" s="13"/>
      <c r="G68" s="13"/>
      <c r="H68" s="67">
        <f>H43</f>
        <v>276.35219711999997</v>
      </c>
    </row>
    <row r="69" spans="1:13" ht="15.75" x14ac:dyDescent="0.25">
      <c r="A69" s="62" t="s">
        <v>52</v>
      </c>
      <c r="B69" s="8" t="s">
        <v>81</v>
      </c>
      <c r="C69" s="8"/>
      <c r="D69" s="66"/>
      <c r="E69" s="66"/>
      <c r="F69" s="13"/>
      <c r="G69" s="13"/>
      <c r="H69" s="67">
        <f>H53</f>
        <v>363.87839999999994</v>
      </c>
    </row>
    <row r="70" spans="1:13" ht="15.75" x14ac:dyDescent="0.25">
      <c r="A70" s="62" t="s">
        <v>64</v>
      </c>
      <c r="B70" s="8" t="s">
        <v>82</v>
      </c>
      <c r="C70" s="8"/>
      <c r="D70" s="66"/>
      <c r="E70" s="66"/>
      <c r="F70" s="13"/>
      <c r="G70" s="13"/>
      <c r="H70" s="67">
        <f>H66</f>
        <v>219.714</v>
      </c>
    </row>
    <row r="71" spans="1:13" ht="15.75" x14ac:dyDescent="0.25">
      <c r="A71" s="63"/>
      <c r="B71" s="126" t="s">
        <v>45</v>
      </c>
      <c r="C71" s="126"/>
      <c r="D71" s="126"/>
      <c r="E71" s="126"/>
      <c r="F71" s="64"/>
      <c r="G71" s="64"/>
      <c r="H71" s="65">
        <f>SUM(H68:H70)</f>
        <v>859.9445971199998</v>
      </c>
    </row>
    <row r="72" spans="1:13" ht="15.75" x14ac:dyDescent="0.25">
      <c r="A72" s="68">
        <v>3</v>
      </c>
      <c r="B72" s="267" t="s">
        <v>83</v>
      </c>
      <c r="C72" s="267"/>
      <c r="D72" s="267"/>
      <c r="E72" s="267"/>
      <c r="F72" s="267"/>
      <c r="G72" s="267"/>
      <c r="H72" s="267"/>
    </row>
    <row r="73" spans="1:13" ht="15.75" x14ac:dyDescent="0.25">
      <c r="A73" s="1" t="s">
        <v>4</v>
      </c>
      <c r="B73" s="48" t="s">
        <v>84</v>
      </c>
      <c r="C73" s="48"/>
      <c r="D73" s="69"/>
      <c r="E73" s="69"/>
      <c r="F73" s="69"/>
      <c r="G73" s="45">
        <v>4.1999999999999997E-3</v>
      </c>
      <c r="H73" s="28">
        <f>SUM($H$37*G73)</f>
        <v>4.1529599999999993</v>
      </c>
    </row>
    <row r="74" spans="1:13" ht="15.75" x14ac:dyDescent="0.25">
      <c r="A74" s="1" t="s">
        <v>7</v>
      </c>
      <c r="B74" s="48" t="s">
        <v>85</v>
      </c>
      <c r="C74" s="48"/>
      <c r="D74" s="27"/>
      <c r="E74" s="27"/>
      <c r="F74" s="28"/>
      <c r="G74" s="45">
        <f>G73*0.08</f>
        <v>3.3599999999999998E-4</v>
      </c>
      <c r="H74" s="28">
        <f>SUM($H$37*G74)</f>
        <v>0.33223679999999994</v>
      </c>
      <c r="I74" s="115"/>
    </row>
    <row r="75" spans="1:13" ht="15.75" x14ac:dyDescent="0.25">
      <c r="A75" s="1" t="s">
        <v>9</v>
      </c>
      <c r="B75" s="48" t="s">
        <v>86</v>
      </c>
      <c r="C75" s="48"/>
      <c r="D75" s="70"/>
      <c r="E75" s="70"/>
      <c r="F75" s="70"/>
      <c r="G75" s="71">
        <v>2.0000000000000001E-4</v>
      </c>
      <c r="H75" s="72">
        <f>(ROUND(SUM($H$37*G75),2))</f>
        <v>0.2</v>
      </c>
      <c r="J75" s="122"/>
    </row>
    <row r="76" spans="1:13" ht="15.75" x14ac:dyDescent="0.25">
      <c r="A76" s="1" t="s">
        <v>17</v>
      </c>
      <c r="B76" s="27" t="s">
        <v>87</v>
      </c>
      <c r="C76" s="27"/>
      <c r="D76" s="69"/>
      <c r="E76" s="69"/>
      <c r="F76" s="69"/>
      <c r="G76" s="45">
        <v>1.9400000000000001E-2</v>
      </c>
      <c r="H76" s="28">
        <f>SUM($H$37*G76)</f>
        <v>19.18272</v>
      </c>
    </row>
    <row r="77" spans="1:13" ht="15.75" x14ac:dyDescent="0.25">
      <c r="A77" s="1" t="s">
        <v>40</v>
      </c>
      <c r="B77" s="48" t="s">
        <v>226</v>
      </c>
      <c r="C77" s="48"/>
      <c r="D77" s="27"/>
      <c r="E77" s="27"/>
      <c r="F77" s="28"/>
      <c r="G77" s="45">
        <f>G76*G53</f>
        <v>7.1392000000000027E-3</v>
      </c>
      <c r="H77" s="28">
        <f>SUM($H$37*G77)</f>
        <v>7.0592409600000021</v>
      </c>
    </row>
    <row r="78" spans="1:13" ht="15.75" x14ac:dyDescent="0.25">
      <c r="A78" s="1" t="s">
        <v>42</v>
      </c>
      <c r="B78" s="27" t="s">
        <v>89</v>
      </c>
      <c r="C78" s="27"/>
      <c r="D78" s="70"/>
      <c r="E78" s="70"/>
      <c r="F78" s="70"/>
      <c r="G78" s="52">
        <v>1E-4</v>
      </c>
      <c r="H78" s="28">
        <f>SUM($H$37*G78)</f>
        <v>9.8879999999999996E-2</v>
      </c>
    </row>
    <row r="79" spans="1:13" ht="15.75" x14ac:dyDescent="0.25">
      <c r="A79" s="73"/>
      <c r="B79" s="55" t="s">
        <v>45</v>
      </c>
      <c r="C79" s="55"/>
      <c r="D79" s="41"/>
      <c r="E79" s="41"/>
      <c r="F79" s="74"/>
      <c r="G79" s="57">
        <f>SUM(G73:G78)</f>
        <v>3.1375200000000006E-2</v>
      </c>
      <c r="H79" s="58">
        <f>SUM(H73:H78)</f>
        <v>31.026037760000001</v>
      </c>
    </row>
    <row r="80" spans="1:13" ht="15.75" x14ac:dyDescent="0.25">
      <c r="A80" s="44">
        <v>4</v>
      </c>
      <c r="B80" s="277" t="s">
        <v>90</v>
      </c>
      <c r="C80" s="277"/>
      <c r="D80" s="277"/>
      <c r="E80" s="277"/>
      <c r="F80" s="277"/>
      <c r="G80" s="277"/>
      <c r="H80" s="277"/>
    </row>
    <row r="81" spans="1:10" ht="15.75" x14ac:dyDescent="0.25">
      <c r="A81" s="75" t="s">
        <v>91</v>
      </c>
      <c r="B81" s="269" t="s">
        <v>237</v>
      </c>
      <c r="C81" s="269"/>
      <c r="D81" s="269"/>
      <c r="E81" s="269"/>
      <c r="F81" s="269"/>
      <c r="G81" s="269"/>
      <c r="H81" s="269"/>
    </row>
    <row r="82" spans="1:10" ht="15.75" x14ac:dyDescent="0.25">
      <c r="A82" s="12" t="s">
        <v>4</v>
      </c>
      <c r="B82" s="51" t="s">
        <v>227</v>
      </c>
      <c r="C82" s="51"/>
      <c r="D82" s="53"/>
      <c r="E82" s="53"/>
      <c r="F82" s="53"/>
      <c r="G82" s="45">
        <f>(G40+G41)/12</f>
        <v>1.7024999999999998E-2</v>
      </c>
      <c r="H82" s="28"/>
    </row>
    <row r="83" spans="1:10" ht="15.75" x14ac:dyDescent="0.25">
      <c r="A83" s="123" t="s">
        <v>7</v>
      </c>
      <c r="B83" s="51" t="s">
        <v>228</v>
      </c>
      <c r="C83" s="268" t="s">
        <v>95</v>
      </c>
      <c r="D83" s="76">
        <v>1</v>
      </c>
      <c r="E83" s="268" t="s">
        <v>96</v>
      </c>
      <c r="F83" s="77">
        <v>1</v>
      </c>
      <c r="G83" s="45">
        <f t="shared" ref="G83:G88" si="1">D83/360*F83</f>
        <v>2.7777777777777779E-3</v>
      </c>
      <c r="H83" s="28">
        <f>SUM(H$37*G83)</f>
        <v>2.7466666666666666</v>
      </c>
    </row>
    <row r="84" spans="1:10" ht="15.75" x14ac:dyDescent="0.25">
      <c r="A84" s="12" t="s">
        <v>9</v>
      </c>
      <c r="B84" s="51" t="s">
        <v>229</v>
      </c>
      <c r="C84" s="268"/>
      <c r="D84" s="76">
        <v>20</v>
      </c>
      <c r="E84" s="268"/>
      <c r="F84" s="77">
        <v>1.4999999999999999E-2</v>
      </c>
      <c r="G84" s="45">
        <f t="shared" si="1"/>
        <v>8.3333333333333328E-4</v>
      </c>
      <c r="H84" s="28">
        <f>SUM(H$37*G84)</f>
        <v>0.82399999999999995</v>
      </c>
    </row>
    <row r="85" spans="1:10" ht="15.75" x14ac:dyDescent="0.25">
      <c r="A85" s="12" t="s">
        <v>17</v>
      </c>
      <c r="B85" s="51" t="s">
        <v>230</v>
      </c>
      <c r="C85" s="268"/>
      <c r="D85" s="76">
        <v>15</v>
      </c>
      <c r="E85" s="268"/>
      <c r="F85" s="78">
        <v>1.3299999999999999E-2</v>
      </c>
      <c r="G85" s="45">
        <f t="shared" si="1"/>
        <v>5.5416666666666657E-4</v>
      </c>
      <c r="H85" s="28">
        <f>SUM(H$37*G85)</f>
        <v>0.54795999999999989</v>
      </c>
    </row>
    <row r="86" spans="1:10" ht="15.75" x14ac:dyDescent="0.25">
      <c r="A86" s="12" t="s">
        <v>40</v>
      </c>
      <c r="B86" s="51" t="s">
        <v>231</v>
      </c>
      <c r="C86" s="268"/>
      <c r="D86" s="76">
        <v>180</v>
      </c>
      <c r="E86" s="268"/>
      <c r="F86" s="77">
        <v>1.8599999999999998E-2</v>
      </c>
      <c r="G86" s="45">
        <f t="shared" si="1"/>
        <v>9.2999999999999992E-3</v>
      </c>
      <c r="H86" s="28">
        <f>SUM(H$37*G86)</f>
        <v>9.1958399999999987</v>
      </c>
    </row>
    <row r="87" spans="1:10" ht="15.75" x14ac:dyDescent="0.25">
      <c r="A87" s="12" t="s">
        <v>42</v>
      </c>
      <c r="B87" s="51" t="s">
        <v>232</v>
      </c>
      <c r="C87" s="268"/>
      <c r="D87" s="79">
        <v>5</v>
      </c>
      <c r="E87" s="268"/>
      <c r="F87" s="80">
        <v>1</v>
      </c>
      <c r="G87" s="45">
        <f t="shared" si="1"/>
        <v>1.3888888888888888E-2</v>
      </c>
      <c r="H87" s="81">
        <f>SUM(H$37*G87)</f>
        <v>13.733333333333333</v>
      </c>
    </row>
    <row r="88" spans="1:10" ht="15.75" x14ac:dyDescent="0.25">
      <c r="A88" s="12" t="s">
        <v>61</v>
      </c>
      <c r="B88" s="51" t="s">
        <v>101</v>
      </c>
      <c r="C88" s="268"/>
      <c r="D88" s="79"/>
      <c r="E88" s="268"/>
      <c r="F88" s="82"/>
      <c r="G88" s="45">
        <f t="shared" si="1"/>
        <v>0</v>
      </c>
      <c r="H88" s="81"/>
    </row>
    <row r="89" spans="1:10" ht="15.75" x14ac:dyDescent="0.25">
      <c r="A89" s="19"/>
      <c r="B89" s="6" t="s">
        <v>102</v>
      </c>
      <c r="C89" s="6"/>
      <c r="D89" s="27"/>
      <c r="E89" s="27"/>
      <c r="F89" s="28"/>
      <c r="G89" s="45">
        <f>SUM(G82:G88)</f>
        <v>4.4379166666666664E-2</v>
      </c>
      <c r="H89" s="28">
        <f>SUM(H82:H88)</f>
        <v>27.047799999999995</v>
      </c>
      <c r="I89" s="121"/>
    </row>
    <row r="90" spans="1:10" ht="15.75" x14ac:dyDescent="0.25">
      <c r="A90" s="12" t="s">
        <v>42</v>
      </c>
      <c r="B90" s="51" t="s">
        <v>103</v>
      </c>
      <c r="C90" s="51"/>
      <c r="D90" s="27"/>
      <c r="E90" s="27"/>
      <c r="F90" s="28"/>
      <c r="G90" s="45">
        <f>G89*G53</f>
        <v>1.6331533333333335E-2</v>
      </c>
      <c r="H90" s="28">
        <f>G53*H89</f>
        <v>9.9535904000000013</v>
      </c>
      <c r="I90" s="115"/>
      <c r="J90" s="122"/>
    </row>
    <row r="91" spans="1:10" ht="15.75" x14ac:dyDescent="0.25">
      <c r="A91" s="73"/>
      <c r="B91" s="55" t="s">
        <v>45</v>
      </c>
      <c r="C91" s="55"/>
      <c r="D91" s="41"/>
      <c r="E91" s="41"/>
      <c r="F91" s="74"/>
      <c r="G91" s="57">
        <f>G90+G89</f>
        <v>6.0710699999999999E-2</v>
      </c>
      <c r="H91" s="58">
        <f>SUM(H89:H90)</f>
        <v>37.001390399999998</v>
      </c>
    </row>
    <row r="92" spans="1:10" ht="15.75" x14ac:dyDescent="0.25">
      <c r="A92" s="75" t="s">
        <v>104</v>
      </c>
      <c r="B92" s="269" t="s">
        <v>233</v>
      </c>
      <c r="C92" s="269"/>
      <c r="D92" s="269"/>
      <c r="E92" s="269"/>
      <c r="F92" s="269"/>
      <c r="G92" s="269"/>
      <c r="H92" s="269"/>
    </row>
    <row r="93" spans="1:10" ht="15.75" x14ac:dyDescent="0.25">
      <c r="A93" s="12" t="s">
        <v>4</v>
      </c>
      <c r="B93" s="51" t="s">
        <v>235</v>
      </c>
      <c r="C93" s="51"/>
      <c r="D93" s="53"/>
      <c r="E93" s="53"/>
      <c r="F93" s="53"/>
      <c r="G93" s="52">
        <v>0</v>
      </c>
      <c r="H93" s="28">
        <f>SUM(H$37*G93)</f>
        <v>0</v>
      </c>
    </row>
    <row r="94" spans="1:10" ht="15.75" x14ac:dyDescent="0.25">
      <c r="A94" s="12" t="s">
        <v>7</v>
      </c>
      <c r="B94" s="51" t="s">
        <v>107</v>
      </c>
      <c r="C94" s="51"/>
      <c r="D94" s="53"/>
      <c r="E94" s="53"/>
      <c r="F94" s="53"/>
      <c r="G94" s="45">
        <f>G93*G53</f>
        <v>0</v>
      </c>
      <c r="H94" s="28">
        <f>SUM($H$37*G94)</f>
        <v>0</v>
      </c>
    </row>
    <row r="95" spans="1:10" ht="15.75" x14ac:dyDescent="0.25">
      <c r="A95" s="73"/>
      <c r="B95" s="55" t="s">
        <v>45</v>
      </c>
      <c r="C95" s="55"/>
      <c r="D95" s="41"/>
      <c r="E95" s="41"/>
      <c r="F95" s="74"/>
      <c r="G95" s="57">
        <f>G94+G93</f>
        <v>0</v>
      </c>
      <c r="H95" s="58">
        <f>SUM(H93:H94)</f>
        <v>0</v>
      </c>
    </row>
    <row r="96" spans="1:10" ht="15.75" x14ac:dyDescent="0.25">
      <c r="A96" s="269" t="s">
        <v>108</v>
      </c>
      <c r="B96" s="269"/>
      <c r="C96" s="269"/>
      <c r="D96" s="269"/>
      <c r="E96" s="269"/>
      <c r="F96" s="269"/>
      <c r="G96" s="269"/>
      <c r="H96" s="269"/>
    </row>
    <row r="97" spans="1:10" ht="15.75" x14ac:dyDescent="0.25">
      <c r="A97" s="12" t="s">
        <v>91</v>
      </c>
      <c r="B97" s="51" t="s">
        <v>236</v>
      </c>
      <c r="C97" s="51"/>
      <c r="D97" s="53"/>
      <c r="E97" s="53"/>
      <c r="F97" s="53"/>
      <c r="G97" s="45">
        <f>G91</f>
        <v>6.0710699999999999E-2</v>
      </c>
      <c r="H97" s="28">
        <f>H91</f>
        <v>37.001390399999998</v>
      </c>
    </row>
    <row r="98" spans="1:10" ht="15.75" x14ac:dyDescent="0.25">
      <c r="A98" s="12" t="s">
        <v>104</v>
      </c>
      <c r="B98" s="51" t="s">
        <v>234</v>
      </c>
      <c r="C98" s="51"/>
      <c r="D98" s="53"/>
      <c r="E98" s="53"/>
      <c r="F98" s="53"/>
      <c r="G98" s="45">
        <f>G95</f>
        <v>0</v>
      </c>
      <c r="H98" s="28">
        <f>H95</f>
        <v>0</v>
      </c>
    </row>
    <row r="99" spans="1:10" ht="15.75" x14ac:dyDescent="0.25">
      <c r="A99" s="73"/>
      <c r="B99" s="55" t="s">
        <v>45</v>
      </c>
      <c r="C99" s="55"/>
      <c r="D99" s="41"/>
      <c r="E99" s="41"/>
      <c r="F99" s="74"/>
      <c r="G99" s="57">
        <f>G95+G91</f>
        <v>6.0710699999999999E-2</v>
      </c>
      <c r="H99" s="58">
        <f>SUM(H97:H98)</f>
        <v>37.001390399999998</v>
      </c>
    </row>
    <row r="100" spans="1:10" ht="15.75" x14ac:dyDescent="0.25">
      <c r="A100" s="83">
        <v>5</v>
      </c>
      <c r="B100" s="269" t="s">
        <v>110</v>
      </c>
      <c r="C100" s="269"/>
      <c r="D100" s="269"/>
      <c r="E100" s="269"/>
      <c r="F100" s="269"/>
      <c r="G100" s="269"/>
      <c r="H100" s="269"/>
    </row>
    <row r="101" spans="1:10" ht="15.75" x14ac:dyDescent="0.25">
      <c r="A101" s="12" t="s">
        <v>4</v>
      </c>
      <c r="B101" s="13" t="s">
        <v>111</v>
      </c>
      <c r="C101" s="13"/>
      <c r="D101" s="84"/>
      <c r="E101" s="27"/>
      <c r="F101" s="85"/>
      <c r="G101" s="85"/>
      <c r="H101" s="85">
        <v>23.84</v>
      </c>
    </row>
    <row r="102" spans="1:10" ht="15.75" x14ac:dyDescent="0.25">
      <c r="A102" s="12" t="s">
        <v>7</v>
      </c>
      <c r="B102" s="13" t="s">
        <v>112</v>
      </c>
      <c r="C102" s="13"/>
      <c r="D102" s="84"/>
      <c r="E102" s="27"/>
      <c r="F102" s="85"/>
      <c r="G102" s="85"/>
      <c r="H102" s="85"/>
    </row>
    <row r="103" spans="1:10" ht="15.75" x14ac:dyDescent="0.25">
      <c r="A103" s="12" t="s">
        <v>9</v>
      </c>
      <c r="B103" s="13" t="s">
        <v>113</v>
      </c>
      <c r="C103" s="13"/>
      <c r="D103" s="84"/>
      <c r="E103" s="27"/>
      <c r="F103" s="85"/>
      <c r="G103" s="85"/>
      <c r="H103" s="85">
        <v>5.21</v>
      </c>
    </row>
    <row r="104" spans="1:10" ht="15.75" x14ac:dyDescent="0.25">
      <c r="A104" s="12" t="s">
        <v>17</v>
      </c>
      <c r="B104" s="13" t="s">
        <v>164</v>
      </c>
      <c r="C104" s="13"/>
      <c r="D104" s="84"/>
      <c r="E104" s="27"/>
      <c r="F104" s="85"/>
      <c r="G104" s="85"/>
      <c r="H104" s="85">
        <v>16.37</v>
      </c>
    </row>
    <row r="105" spans="1:10" ht="15.75" x14ac:dyDescent="0.25">
      <c r="A105" s="12" t="s">
        <v>40</v>
      </c>
      <c r="B105" s="13" t="s">
        <v>101</v>
      </c>
      <c r="C105" s="13"/>
      <c r="D105" s="84"/>
      <c r="E105" s="27"/>
      <c r="F105" s="85"/>
      <c r="G105" s="85"/>
      <c r="H105" s="85">
        <v>0</v>
      </c>
    </row>
    <row r="106" spans="1:10" ht="15.75" x14ac:dyDescent="0.25">
      <c r="A106" s="73"/>
      <c r="B106" s="55" t="s">
        <v>45</v>
      </c>
      <c r="C106" s="55"/>
      <c r="D106" s="41"/>
      <c r="E106" s="41"/>
      <c r="F106" s="74"/>
      <c r="G106" s="57"/>
      <c r="H106" s="58">
        <f>SUM(H101:H105)</f>
        <v>45.42</v>
      </c>
    </row>
    <row r="107" spans="1:10" ht="15.75" x14ac:dyDescent="0.25">
      <c r="A107" s="83">
        <v>6</v>
      </c>
      <c r="B107" s="269" t="s">
        <v>114</v>
      </c>
      <c r="C107" s="269"/>
      <c r="D107" s="269"/>
      <c r="E107" s="269"/>
      <c r="F107" s="269"/>
      <c r="G107" s="269"/>
      <c r="H107" s="269"/>
    </row>
    <row r="108" spans="1:10" ht="15.75" x14ac:dyDescent="0.25">
      <c r="A108" s="86" t="s">
        <v>4</v>
      </c>
      <c r="B108" s="27"/>
      <c r="C108" s="27"/>
      <c r="D108" s="27"/>
      <c r="E108" s="27"/>
      <c r="F108" s="27" t="s">
        <v>115</v>
      </c>
      <c r="G108" s="52">
        <v>0.01</v>
      </c>
      <c r="H108" s="28">
        <f>G108*H123</f>
        <v>19.621920252799999</v>
      </c>
    </row>
    <row r="109" spans="1:10" ht="15.75" x14ac:dyDescent="0.25">
      <c r="A109" s="86" t="s">
        <v>7</v>
      </c>
      <c r="B109" s="27"/>
      <c r="C109" s="27"/>
      <c r="D109" s="27"/>
      <c r="E109" s="27"/>
      <c r="F109" s="12" t="s">
        <v>116</v>
      </c>
      <c r="G109" s="52">
        <v>0.01</v>
      </c>
      <c r="H109" s="28">
        <f>(H108+H123)*$G$109</f>
        <v>19.818139455327998</v>
      </c>
    </row>
    <row r="110" spans="1:10" ht="15.75" x14ac:dyDescent="0.25">
      <c r="A110" s="86" t="s">
        <v>9</v>
      </c>
      <c r="B110" s="27"/>
      <c r="C110" s="27"/>
      <c r="D110" s="27"/>
      <c r="E110" s="27"/>
      <c r="F110" s="12" t="s">
        <v>117</v>
      </c>
      <c r="G110" s="87">
        <f>SUM(G111:G115)</f>
        <v>8.6499999999999994E-2</v>
      </c>
      <c r="H110" s="28">
        <f>H112+H113+H115</f>
        <v>189.53604307769353</v>
      </c>
    </row>
    <row r="111" spans="1:10" ht="15.75" x14ac:dyDescent="0.25">
      <c r="A111" s="86" t="s">
        <v>118</v>
      </c>
      <c r="B111" s="27"/>
      <c r="C111" s="27"/>
      <c r="D111" s="27"/>
      <c r="E111" s="27"/>
      <c r="F111" s="88" t="s">
        <v>119</v>
      </c>
      <c r="G111" s="45">
        <v>0</v>
      </c>
      <c r="H111" s="28"/>
    </row>
    <row r="112" spans="1:10" ht="15.75" x14ac:dyDescent="0.25">
      <c r="A112" s="86" t="s">
        <v>120</v>
      </c>
      <c r="B112" s="27"/>
      <c r="C112" s="27"/>
      <c r="D112" s="27"/>
      <c r="E112" s="27"/>
      <c r="F112" s="88" t="s">
        <v>121</v>
      </c>
      <c r="G112" s="52">
        <v>6.4999999999999997E-3</v>
      </c>
      <c r="H112" s="28">
        <f>((H108+H109+H123)/0.9135)*G112</f>
        <v>14.242592832427837</v>
      </c>
      <c r="J112" s="120"/>
    </row>
    <row r="113" spans="1:10" ht="15.75" x14ac:dyDescent="0.25">
      <c r="A113" s="86" t="s">
        <v>122</v>
      </c>
      <c r="B113" s="27"/>
      <c r="C113" s="27"/>
      <c r="D113" s="27"/>
      <c r="E113" s="27"/>
      <c r="F113" s="88" t="s">
        <v>123</v>
      </c>
      <c r="G113" s="52">
        <v>0.03</v>
      </c>
      <c r="H113" s="28">
        <f>((H108+H109+H123)/0.9135)*G113</f>
        <v>65.73504384197463</v>
      </c>
    </row>
    <row r="114" spans="1:10" ht="15.75" x14ac:dyDescent="0.25">
      <c r="A114" s="86" t="s">
        <v>124</v>
      </c>
      <c r="B114" s="27"/>
      <c r="C114" s="27"/>
      <c r="D114" s="27"/>
      <c r="E114" s="27"/>
      <c r="F114" s="88" t="s">
        <v>125</v>
      </c>
      <c r="G114" s="45">
        <v>0</v>
      </c>
      <c r="H114" s="28"/>
    </row>
    <row r="115" spans="1:10" ht="15.75" x14ac:dyDescent="0.25">
      <c r="A115" s="86" t="s">
        <v>126</v>
      </c>
      <c r="B115" s="27"/>
      <c r="C115" s="27"/>
      <c r="D115" s="27"/>
      <c r="E115" s="27"/>
      <c r="F115" s="88" t="s">
        <v>127</v>
      </c>
      <c r="G115" s="45">
        <v>0.05</v>
      </c>
      <c r="H115" s="28">
        <f>((H108+H109+H123)/0.9135)*G115</f>
        <v>109.55840640329107</v>
      </c>
    </row>
    <row r="116" spans="1:10" ht="15.75" x14ac:dyDescent="0.25">
      <c r="A116" s="73"/>
      <c r="B116" s="55" t="s">
        <v>45</v>
      </c>
      <c r="C116" s="55"/>
      <c r="D116" s="41"/>
      <c r="E116" s="41"/>
      <c r="F116" s="74"/>
      <c r="G116" s="57">
        <f>G110+G109+G108</f>
        <v>0.10649999999999998</v>
      </c>
      <c r="H116" s="58">
        <f>H108+H109+H110</f>
        <v>228.97610278582152</v>
      </c>
    </row>
    <row r="117" spans="1:10" ht="15.75" x14ac:dyDescent="0.25">
      <c r="A117" s="89"/>
      <c r="B117" s="267" t="s">
        <v>128</v>
      </c>
      <c r="C117" s="267"/>
      <c r="D117" s="267"/>
      <c r="E117" s="267"/>
      <c r="F117" s="267"/>
      <c r="G117" s="267"/>
      <c r="H117" s="267"/>
    </row>
    <row r="118" spans="1:10" ht="15.75" x14ac:dyDescent="0.25">
      <c r="A118" s="90" t="s">
        <v>4</v>
      </c>
      <c r="B118" s="27" t="s">
        <v>30</v>
      </c>
      <c r="C118" s="27"/>
      <c r="D118" s="27"/>
      <c r="E118" s="27"/>
      <c r="F118" s="28"/>
      <c r="G118" s="45">
        <f>SUM(H118/H$125)</f>
        <v>0.45126614764738721</v>
      </c>
      <c r="H118" s="28">
        <f>H37</f>
        <v>988.8</v>
      </c>
    </row>
    <row r="119" spans="1:10" ht="15.75" x14ac:dyDescent="0.25">
      <c r="A119" s="90" t="s">
        <v>7</v>
      </c>
      <c r="B119" s="27" t="s">
        <v>129</v>
      </c>
      <c r="C119" s="27"/>
      <c r="D119" s="27"/>
      <c r="E119" s="27"/>
      <c r="F119" s="28"/>
      <c r="G119" s="45">
        <f>SUM(H119/H$125)</f>
        <v>0.39245943116153598</v>
      </c>
      <c r="H119" s="28">
        <f>H71</f>
        <v>859.9445971199998</v>
      </c>
    </row>
    <row r="120" spans="1:10" ht="15.75" x14ac:dyDescent="0.25">
      <c r="A120" s="90" t="s">
        <v>9</v>
      </c>
      <c r="B120" s="27" t="s">
        <v>130</v>
      </c>
      <c r="C120" s="27"/>
      <c r="D120" s="27"/>
      <c r="E120" s="27"/>
      <c r="F120" s="28"/>
      <c r="G120" s="45">
        <f>SUM(H120/H$125)</f>
        <v>1.4159587921437674E-2</v>
      </c>
      <c r="H120" s="28">
        <f>H79</f>
        <v>31.026037760000001</v>
      </c>
    </row>
    <row r="121" spans="1:10" ht="15.75" x14ac:dyDescent="0.25">
      <c r="A121" s="90" t="s">
        <v>17</v>
      </c>
      <c r="B121" s="27" t="s">
        <v>131</v>
      </c>
      <c r="C121" s="27"/>
      <c r="D121" s="27"/>
      <c r="E121" s="27"/>
      <c r="F121" s="28"/>
      <c r="G121" s="45">
        <f>SUM(H121/H$125)</f>
        <v>1.6886604878039054E-2</v>
      </c>
      <c r="H121" s="28">
        <f>H99</f>
        <v>37.001390399999998</v>
      </c>
    </row>
    <row r="122" spans="1:10" ht="15.75" x14ac:dyDescent="0.25">
      <c r="A122" s="90" t="s">
        <v>40</v>
      </c>
      <c r="B122" s="27" t="s">
        <v>110</v>
      </c>
      <c r="C122" s="27"/>
      <c r="D122" s="27"/>
      <c r="E122" s="27"/>
      <c r="F122" s="28"/>
      <c r="G122" s="45">
        <f>H122/H125</f>
        <v>2.072866952482234E-2</v>
      </c>
      <c r="H122" s="28">
        <f>H106</f>
        <v>45.42</v>
      </c>
      <c r="J122" s="115">
        <f>H108+H109+H123</f>
        <v>2001.6320849881279</v>
      </c>
    </row>
    <row r="123" spans="1:10" ht="15.75" x14ac:dyDescent="0.25">
      <c r="A123" s="90"/>
      <c r="B123" s="27" t="s">
        <v>132</v>
      </c>
      <c r="C123" s="27"/>
      <c r="D123" s="27"/>
      <c r="E123" s="27"/>
      <c r="F123" s="28"/>
      <c r="G123" s="45">
        <f>SUM(G118:G122)</f>
        <v>0.89550044113322225</v>
      </c>
      <c r="H123" s="28">
        <f>SUM(H118:H122)</f>
        <v>1962.1920252799998</v>
      </c>
      <c r="J123" s="115">
        <f>J122/0.9135</f>
        <v>2191.1681280658213</v>
      </c>
    </row>
    <row r="124" spans="1:10" ht="15.75" x14ac:dyDescent="0.25">
      <c r="A124" s="90" t="s">
        <v>40</v>
      </c>
      <c r="B124" s="27" t="s">
        <v>133</v>
      </c>
      <c r="C124" s="27"/>
      <c r="D124" s="27"/>
      <c r="E124" s="27"/>
      <c r="F124" s="28"/>
      <c r="G124" s="45">
        <f>SUM(H124/H$125)</f>
        <v>0.10449955886677777</v>
      </c>
      <c r="H124" s="28">
        <f>H108+H109+H110</f>
        <v>228.97610278582152</v>
      </c>
    </row>
    <row r="125" spans="1:10" ht="15.75" x14ac:dyDescent="0.25">
      <c r="A125" s="55"/>
      <c r="B125" s="55" t="s">
        <v>134</v>
      </c>
      <c r="C125" s="55"/>
      <c r="D125" s="55"/>
      <c r="E125" s="55"/>
      <c r="F125" s="55"/>
      <c r="G125" s="55">
        <f>SUM(G123+G124)</f>
        <v>1</v>
      </c>
      <c r="H125" s="91">
        <f>H124+H123</f>
        <v>2191.1681280658213</v>
      </c>
    </row>
    <row r="126" spans="1:10" ht="15.75" x14ac:dyDescent="0.25">
      <c r="A126" s="92"/>
      <c r="B126" s="267" t="s">
        <v>135</v>
      </c>
      <c r="C126" s="267"/>
      <c r="D126" s="267"/>
      <c r="E126" s="267"/>
      <c r="F126" s="267"/>
      <c r="G126" s="267"/>
      <c r="H126" s="267"/>
    </row>
    <row r="127" spans="1:10" ht="47.25" x14ac:dyDescent="0.25">
      <c r="A127" s="27"/>
      <c r="B127" s="16" t="s">
        <v>20</v>
      </c>
      <c r="C127" s="16"/>
      <c r="D127" s="93" t="s">
        <v>136</v>
      </c>
      <c r="E127" s="93" t="s">
        <v>137</v>
      </c>
      <c r="F127" s="94" t="s">
        <v>138</v>
      </c>
      <c r="G127" s="93" t="s">
        <v>139</v>
      </c>
      <c r="H127" s="95" t="s">
        <v>140</v>
      </c>
    </row>
    <row r="128" spans="1:10" ht="15.75" x14ac:dyDescent="0.25">
      <c r="A128" s="27"/>
      <c r="B128" s="3" t="s">
        <v>141</v>
      </c>
      <c r="C128" s="3"/>
      <c r="D128" s="3" t="s">
        <v>142</v>
      </c>
      <c r="E128" s="96" t="s">
        <v>143</v>
      </c>
      <c r="F128" s="97" t="s">
        <v>144</v>
      </c>
      <c r="G128" s="3" t="s">
        <v>145</v>
      </c>
      <c r="H128" s="98" t="s">
        <v>146</v>
      </c>
    </row>
    <row r="129" spans="1:8" ht="15.75" x14ac:dyDescent="0.25">
      <c r="A129" s="1"/>
      <c r="B129" s="14"/>
      <c r="C129" s="14"/>
      <c r="D129" s="99">
        <f>SUM(H125)</f>
        <v>2191.1681280658213</v>
      </c>
      <c r="E129" s="100">
        <v>11</v>
      </c>
      <c r="F129" s="99">
        <f>D129*E129</f>
        <v>24102.849408724032</v>
      </c>
      <c r="G129" s="101">
        <v>1</v>
      </c>
      <c r="H129" s="28">
        <f>E129*D129</f>
        <v>24102.849408724032</v>
      </c>
    </row>
    <row r="130" spans="1:8" ht="15.75" x14ac:dyDescent="0.25">
      <c r="A130" s="27"/>
      <c r="B130" s="102" t="s">
        <v>147</v>
      </c>
      <c r="C130" s="102"/>
      <c r="D130" s="103"/>
      <c r="E130" s="103"/>
      <c r="F130" s="103"/>
      <c r="G130" s="103"/>
      <c r="H130" s="104">
        <f>SUM(H129)</f>
        <v>24102.849408724032</v>
      </c>
    </row>
    <row r="131" spans="1:8" ht="15.75" x14ac:dyDescent="0.25">
      <c r="A131" s="27"/>
      <c r="B131" s="16"/>
      <c r="C131" s="16"/>
      <c r="D131" s="105"/>
      <c r="E131" s="16"/>
      <c r="F131" s="16"/>
      <c r="G131" s="16"/>
      <c r="H131" s="16"/>
    </row>
    <row r="132" spans="1:8" ht="15.75" x14ac:dyDescent="0.25">
      <c r="A132" s="83"/>
      <c r="B132" s="267" t="s">
        <v>148</v>
      </c>
      <c r="C132" s="267"/>
      <c r="D132" s="267"/>
      <c r="E132" s="267"/>
      <c r="F132" s="267"/>
      <c r="G132" s="267"/>
      <c r="H132" s="267"/>
    </row>
    <row r="133" spans="1:8" ht="15.75" x14ac:dyDescent="0.25">
      <c r="A133" s="106"/>
      <c r="B133" s="106" t="s">
        <v>149</v>
      </c>
      <c r="C133" s="106"/>
      <c r="D133" s="106"/>
      <c r="E133" s="16"/>
      <c r="F133" s="16"/>
      <c r="G133" s="16"/>
      <c r="H133" s="107" t="s">
        <v>150</v>
      </c>
    </row>
    <row r="134" spans="1:8" ht="15.75" x14ac:dyDescent="0.25">
      <c r="A134" s="108" t="s">
        <v>4</v>
      </c>
      <c r="B134" s="109" t="s">
        <v>151</v>
      </c>
      <c r="C134" s="109"/>
      <c r="D134" s="109"/>
      <c r="E134" s="13"/>
      <c r="F134" s="13"/>
      <c r="G134" s="13"/>
      <c r="H134" s="107">
        <f>D129</f>
        <v>2191.1681280658213</v>
      </c>
    </row>
    <row r="135" spans="1:8" ht="15.75" x14ac:dyDescent="0.25">
      <c r="A135" s="108" t="s">
        <v>7</v>
      </c>
      <c r="B135" s="109" t="s">
        <v>152</v>
      </c>
      <c r="C135" s="109"/>
      <c r="D135" s="109"/>
      <c r="E135" s="13"/>
      <c r="F135" s="13"/>
      <c r="G135" s="13"/>
      <c r="H135" s="107">
        <f>H130</f>
        <v>24102.849408724032</v>
      </c>
    </row>
    <row r="136" spans="1:8" ht="15.75" x14ac:dyDescent="0.25">
      <c r="A136" s="108" t="s">
        <v>17</v>
      </c>
      <c r="B136" s="7" t="s">
        <v>153</v>
      </c>
      <c r="C136" s="7"/>
      <c r="D136" s="109"/>
      <c r="E136" s="13"/>
      <c r="F136" s="13"/>
      <c r="G136" s="100">
        <v>12</v>
      </c>
      <c r="H136" s="107">
        <f>SUM(H135*G136)</f>
        <v>289234.19290468842</v>
      </c>
    </row>
    <row r="137" spans="1:8" ht="15.75" x14ac:dyDescent="0.25">
      <c r="A137" s="6"/>
      <c r="B137" s="6"/>
      <c r="C137" s="6"/>
      <c r="D137" s="6"/>
      <c r="E137" s="6"/>
      <c r="F137" s="6"/>
      <c r="G137" s="6"/>
      <c r="H137" s="6"/>
    </row>
    <row r="139" spans="1:8" x14ac:dyDescent="0.25">
      <c r="A139" s="149" t="s">
        <v>204</v>
      </c>
      <c r="B139" s="149"/>
    </row>
    <row r="140" spans="1:8" x14ac:dyDescent="0.25">
      <c r="A140" s="149" t="s">
        <v>205</v>
      </c>
      <c r="B140" s="149"/>
    </row>
    <row r="141" spans="1:8" x14ac:dyDescent="0.25">
      <c r="A141" s="149" t="s">
        <v>206</v>
      </c>
      <c r="B141" s="149"/>
    </row>
    <row r="142" spans="1:8" x14ac:dyDescent="0.25">
      <c r="A142" s="149"/>
      <c r="B142" s="149"/>
    </row>
    <row r="143" spans="1:8" x14ac:dyDescent="0.25">
      <c r="A143" s="149" t="s">
        <v>207</v>
      </c>
      <c r="B143" s="149"/>
    </row>
    <row r="145" spans="1:6" x14ac:dyDescent="0.25">
      <c r="A145" t="s">
        <v>208</v>
      </c>
    </row>
    <row r="146" spans="1:6" x14ac:dyDescent="0.25">
      <c r="A146" s="149" t="s">
        <v>209</v>
      </c>
    </row>
    <row r="147" spans="1:6" x14ac:dyDescent="0.25">
      <c r="A147" s="149" t="s">
        <v>210</v>
      </c>
    </row>
    <row r="148" spans="1:6" x14ac:dyDescent="0.25">
      <c r="A148" s="149"/>
    </row>
    <row r="149" spans="1:6" x14ac:dyDescent="0.25">
      <c r="A149" s="149" t="s">
        <v>211</v>
      </c>
    </row>
    <row r="150" spans="1:6" x14ac:dyDescent="0.25">
      <c r="A150" s="149"/>
    </row>
    <row r="151" spans="1:6" x14ac:dyDescent="0.25">
      <c r="A151" s="149" t="s">
        <v>212</v>
      </c>
    </row>
    <row r="152" spans="1:6" x14ac:dyDescent="0.25">
      <c r="A152" s="149" t="s">
        <v>213</v>
      </c>
    </row>
    <row r="153" spans="1:6" x14ac:dyDescent="0.25">
      <c r="A153" s="149"/>
    </row>
    <row r="154" spans="1:6" x14ac:dyDescent="0.25">
      <c r="A154" s="149" t="s">
        <v>207</v>
      </c>
    </row>
    <row r="155" spans="1:6" x14ac:dyDescent="0.25">
      <c r="A155" s="149" t="s">
        <v>223</v>
      </c>
    </row>
    <row r="156" spans="1:6" x14ac:dyDescent="0.25">
      <c r="B156" s="150" t="s">
        <v>214</v>
      </c>
      <c r="C156" s="151"/>
      <c r="D156" s="151"/>
      <c r="E156" s="151"/>
      <c r="F156" s="151"/>
    </row>
    <row r="157" spans="1:6" x14ac:dyDescent="0.25">
      <c r="B157" s="150"/>
      <c r="C157" s="151"/>
      <c r="D157" s="151"/>
      <c r="E157" s="151"/>
      <c r="F157" s="151"/>
    </row>
    <row r="158" spans="1:6" x14ac:dyDescent="0.25">
      <c r="B158" s="150" t="s">
        <v>215</v>
      </c>
      <c r="C158" s="151" t="s">
        <v>216</v>
      </c>
      <c r="D158" s="151" t="s">
        <v>217</v>
      </c>
      <c r="E158" s="151" t="s">
        <v>218</v>
      </c>
      <c r="F158" s="151" t="s">
        <v>219</v>
      </c>
    </row>
    <row r="159" spans="1:6" x14ac:dyDescent="0.25">
      <c r="B159" s="150" t="s">
        <v>220</v>
      </c>
      <c r="C159" s="152">
        <v>1.6500000000000001E-2</v>
      </c>
      <c r="D159" s="152">
        <v>7.5999999999999998E-2</v>
      </c>
      <c r="E159" s="153">
        <v>0.05</v>
      </c>
      <c r="F159" s="151">
        <v>0.85750000000000004</v>
      </c>
    </row>
    <row r="160" spans="1:6" x14ac:dyDescent="0.25">
      <c r="B160" s="150" t="s">
        <v>221</v>
      </c>
      <c r="C160" s="152">
        <v>6.4999999999999997E-3</v>
      </c>
      <c r="D160" s="153">
        <v>0.03</v>
      </c>
      <c r="E160" s="153">
        <v>0.05</v>
      </c>
      <c r="F160" s="151">
        <v>0.91349999999999998</v>
      </c>
    </row>
    <row r="161" spans="1:6" x14ac:dyDescent="0.25">
      <c r="B161" s="150" t="s">
        <v>222</v>
      </c>
      <c r="C161" s="152">
        <v>4.4000000000000003E-3</v>
      </c>
      <c r="D161" s="152">
        <v>2.35E-2</v>
      </c>
      <c r="E161" s="153">
        <v>0.05</v>
      </c>
      <c r="F161" s="151">
        <v>0.92210000000000003</v>
      </c>
    </row>
    <row r="163" spans="1:6" x14ac:dyDescent="0.25">
      <c r="A163" s="155" t="s">
        <v>225</v>
      </c>
    </row>
  </sheetData>
  <mergeCells count="51">
    <mergeCell ref="B117:H117"/>
    <mergeCell ref="B126:H126"/>
    <mergeCell ref="B132:H132"/>
    <mergeCell ref="C83:C88"/>
    <mergeCell ref="E83:E88"/>
    <mergeCell ref="B92:H92"/>
    <mergeCell ref="A96:H96"/>
    <mergeCell ref="B100:H100"/>
    <mergeCell ref="B107:H107"/>
    <mergeCell ref="B81:H81"/>
    <mergeCell ref="A59:A61"/>
    <mergeCell ref="D59:D60"/>
    <mergeCell ref="E59:E60"/>
    <mergeCell ref="F59:F60"/>
    <mergeCell ref="G59:G60"/>
    <mergeCell ref="B61:E61"/>
    <mergeCell ref="B62:E62"/>
    <mergeCell ref="B66:E66"/>
    <mergeCell ref="A67:H67"/>
    <mergeCell ref="B72:H72"/>
    <mergeCell ref="B80:H80"/>
    <mergeCell ref="B54:H54"/>
    <mergeCell ref="A56:A58"/>
    <mergeCell ref="D56:D57"/>
    <mergeCell ref="E56:E57"/>
    <mergeCell ref="F56:F57"/>
    <mergeCell ref="G56:G57"/>
    <mergeCell ref="D46:E47"/>
    <mergeCell ref="E18:H18"/>
    <mergeCell ref="B19:H19"/>
    <mergeCell ref="A20:H20"/>
    <mergeCell ref="D21:H21"/>
    <mergeCell ref="D22:H22"/>
    <mergeCell ref="D24:H24"/>
    <mergeCell ref="D25:H25"/>
    <mergeCell ref="B26:H26"/>
    <mergeCell ref="B38:H38"/>
    <mergeCell ref="B39:H39"/>
    <mergeCell ref="B44:H44"/>
    <mergeCell ref="E17:H17"/>
    <mergeCell ref="A3:H3"/>
    <mergeCell ref="E4:H6"/>
    <mergeCell ref="A7:D7"/>
    <mergeCell ref="A8:H8"/>
    <mergeCell ref="D9:H9"/>
    <mergeCell ref="D10:H10"/>
    <mergeCell ref="D11:H11"/>
    <mergeCell ref="D12:H12"/>
    <mergeCell ref="A14:H14"/>
    <mergeCell ref="E15:H15"/>
    <mergeCell ref="E16:H16"/>
  </mergeCells>
  <dataValidations count="4">
    <dataValidation type="list" operator="equal" allowBlank="1" showErrorMessage="1" sqref="D28">
      <formula1>$J$33:$J$34</formula1>
      <formula2>0</formula2>
    </dataValidation>
    <dataValidation type="list" operator="equal" allowBlank="1" showErrorMessage="1" sqref="E28">
      <formula1>$K$33:$K$34</formula1>
      <formula2>0</formula2>
    </dataValidation>
    <dataValidation type="list" operator="equal" allowBlank="1" showErrorMessage="1" sqref="D30">
      <formula1>$J$28:$J$31</formula1>
      <formula2>0</formula2>
    </dataValidation>
    <dataValidation type="list" operator="equal" allowBlank="1" showErrorMessage="1" promptTitle="Percentual" sqref="E30">
      <formula1>$K$28:$K$31</formula1>
      <formula2>0</formula2>
    </dataValidation>
  </dataValidations>
  <pageMargins left="0.7" right="0.7" top="0.75" bottom="0.75" header="0.3" footer="0.3"/>
  <pageSetup paperSize="9" scale="45" orientation="portrait" r:id="rId1"/>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63"/>
  <sheetViews>
    <sheetView topLeftCell="A113" zoomScale="70" zoomScaleNormal="70" workbookViewId="0">
      <selection activeCell="G87" sqref="G87"/>
    </sheetView>
  </sheetViews>
  <sheetFormatPr defaultRowHeight="15" x14ac:dyDescent="0.25"/>
  <cols>
    <col min="1" max="1" width="4.85546875" bestFit="1" customWidth="1"/>
    <col min="2" max="2" width="54.85546875" customWidth="1"/>
    <col min="3" max="3" width="11.5703125" customWidth="1"/>
    <col min="4" max="4" width="34" customWidth="1"/>
    <col min="5" max="5" width="18" customWidth="1"/>
    <col min="6" max="6" width="25.28515625" bestFit="1" customWidth="1"/>
    <col min="7" max="7" width="11.5703125" bestFit="1" customWidth="1"/>
    <col min="8" max="8" width="17.140625" bestFit="1" customWidth="1"/>
    <col min="9" max="9" width="20.7109375" customWidth="1"/>
    <col min="10" max="10" width="11" bestFit="1" customWidth="1"/>
  </cols>
  <sheetData>
    <row r="1" spans="1:8" x14ac:dyDescent="0.25">
      <c r="A1" s="1"/>
      <c r="B1" s="1"/>
      <c r="C1" s="1"/>
      <c r="D1" s="1"/>
      <c r="E1" s="1"/>
      <c r="F1" s="1"/>
      <c r="G1" s="1"/>
      <c r="H1" s="2"/>
    </row>
    <row r="2" spans="1:8" ht="15.75" x14ac:dyDescent="0.25">
      <c r="A2" s="3" t="s">
        <v>203</v>
      </c>
      <c r="B2" s="3" t="s">
        <v>0</v>
      </c>
      <c r="C2" s="3"/>
      <c r="D2" s="4" t="s">
        <v>1</v>
      </c>
      <c r="E2" s="3"/>
      <c r="F2" s="3" t="s">
        <v>2</v>
      </c>
      <c r="G2" s="3"/>
      <c r="H2" s="5" t="s">
        <v>156</v>
      </c>
    </row>
    <row r="3" spans="1:8" ht="15.75" x14ac:dyDescent="0.25">
      <c r="A3" s="269" t="s">
        <v>3</v>
      </c>
      <c r="B3" s="269"/>
      <c r="C3" s="269"/>
      <c r="D3" s="269"/>
      <c r="E3" s="269"/>
      <c r="F3" s="269"/>
      <c r="G3" s="269"/>
      <c r="H3" s="269"/>
    </row>
    <row r="4" spans="1:8" ht="15.75" x14ac:dyDescent="0.25">
      <c r="A4" s="6" t="s">
        <v>4</v>
      </c>
      <c r="B4" s="7" t="s">
        <v>5</v>
      </c>
      <c r="C4" s="7"/>
      <c r="D4" s="8"/>
      <c r="E4" s="287" t="s">
        <v>6</v>
      </c>
      <c r="F4" s="287"/>
      <c r="G4" s="287"/>
      <c r="H4" s="287"/>
    </row>
    <row r="5" spans="1:8" ht="15.75" x14ac:dyDescent="0.25">
      <c r="A5" s="6" t="s">
        <v>7</v>
      </c>
      <c r="B5" s="7" t="s">
        <v>8</v>
      </c>
      <c r="C5" s="7"/>
      <c r="D5" s="9"/>
      <c r="E5" s="287"/>
      <c r="F5" s="287"/>
      <c r="G5" s="287"/>
      <c r="H5" s="287"/>
    </row>
    <row r="6" spans="1:8" ht="15.75" x14ac:dyDescent="0.25">
      <c r="A6" s="6" t="s">
        <v>9</v>
      </c>
      <c r="B6" s="7" t="s">
        <v>10</v>
      </c>
      <c r="C6" s="7"/>
      <c r="D6" s="10" t="s">
        <v>11</v>
      </c>
      <c r="E6" s="287"/>
      <c r="F6" s="287"/>
      <c r="G6" s="287"/>
      <c r="H6" s="287"/>
    </row>
    <row r="7" spans="1:8" ht="15.75" x14ac:dyDescent="0.25">
      <c r="A7" s="288"/>
      <c r="B7" s="288"/>
      <c r="C7" s="288"/>
      <c r="D7" s="288"/>
      <c r="E7" s="11"/>
      <c r="F7" s="11"/>
      <c r="G7" s="11"/>
      <c r="H7" s="11"/>
    </row>
    <row r="8" spans="1:8" ht="15.75" x14ac:dyDescent="0.25">
      <c r="A8" s="269" t="s">
        <v>12</v>
      </c>
      <c r="B8" s="269"/>
      <c r="C8" s="269"/>
      <c r="D8" s="269"/>
      <c r="E8" s="269"/>
      <c r="F8" s="269"/>
      <c r="G8" s="269"/>
      <c r="H8" s="269"/>
    </row>
    <row r="9" spans="1:8" x14ac:dyDescent="0.25">
      <c r="A9" s="12" t="s">
        <v>4</v>
      </c>
      <c r="B9" s="13" t="s">
        <v>13</v>
      </c>
      <c r="C9" s="13"/>
      <c r="D9" s="281" t="s">
        <v>14</v>
      </c>
      <c r="E9" s="281"/>
      <c r="F9" s="281"/>
      <c r="G9" s="281"/>
      <c r="H9" s="281"/>
    </row>
    <row r="10" spans="1:8" x14ac:dyDescent="0.25">
      <c r="A10" s="12" t="s">
        <v>7</v>
      </c>
      <c r="B10" s="13" t="s">
        <v>15</v>
      </c>
      <c r="C10" s="13"/>
      <c r="D10" s="289" t="s">
        <v>184</v>
      </c>
      <c r="E10" s="289"/>
      <c r="F10" s="289"/>
      <c r="G10" s="289"/>
      <c r="H10" s="289"/>
    </row>
    <row r="11" spans="1:8" x14ac:dyDescent="0.25">
      <c r="A11" s="12" t="s">
        <v>9</v>
      </c>
      <c r="B11" s="13" t="s">
        <v>16</v>
      </c>
      <c r="C11" s="13"/>
      <c r="D11" s="289" t="s">
        <v>174</v>
      </c>
      <c r="E11" s="289"/>
      <c r="F11" s="289"/>
      <c r="G11" s="289"/>
      <c r="H11" s="289"/>
    </row>
    <row r="12" spans="1:8" x14ac:dyDescent="0.25">
      <c r="A12" s="12" t="s">
        <v>17</v>
      </c>
      <c r="B12" s="13" t="s">
        <v>18</v>
      </c>
      <c r="C12" s="13"/>
      <c r="D12" s="289">
        <v>12</v>
      </c>
      <c r="E12" s="289"/>
      <c r="F12" s="289"/>
      <c r="G12" s="289"/>
      <c r="H12" s="289"/>
    </row>
    <row r="13" spans="1:8" x14ac:dyDescent="0.25">
      <c r="A13" s="12"/>
      <c r="B13" s="13"/>
      <c r="C13" s="13"/>
      <c r="D13" s="14"/>
      <c r="E13" s="14"/>
      <c r="F13" s="14"/>
      <c r="G13" s="14"/>
      <c r="H13" s="15"/>
    </row>
    <row r="14" spans="1:8" ht="15.75" x14ac:dyDescent="0.25">
      <c r="A14" s="269" t="s">
        <v>19</v>
      </c>
      <c r="B14" s="269"/>
      <c r="C14" s="269"/>
      <c r="D14" s="269"/>
      <c r="E14" s="269"/>
      <c r="F14" s="269"/>
      <c r="G14" s="269"/>
      <c r="H14" s="269"/>
    </row>
    <row r="15" spans="1:8" ht="15.75" x14ac:dyDescent="0.25">
      <c r="A15" s="12"/>
      <c r="B15" s="16" t="s">
        <v>20</v>
      </c>
      <c r="C15" s="16"/>
      <c r="D15" s="17" t="s">
        <v>21</v>
      </c>
      <c r="E15" s="290" t="s">
        <v>22</v>
      </c>
      <c r="F15" s="290"/>
      <c r="G15" s="290"/>
      <c r="H15" s="290"/>
    </row>
    <row r="16" spans="1:8" x14ac:dyDescent="0.25">
      <c r="A16" s="12" t="s">
        <v>4</v>
      </c>
      <c r="B16" s="18" t="s">
        <v>180</v>
      </c>
      <c r="C16" s="19"/>
      <c r="D16" s="20" t="s">
        <v>23</v>
      </c>
      <c r="E16" s="291">
        <v>1</v>
      </c>
      <c r="F16" s="291"/>
      <c r="G16" s="291"/>
      <c r="H16" s="291"/>
    </row>
    <row r="17" spans="1:9" x14ac:dyDescent="0.25">
      <c r="A17" s="12" t="s">
        <v>7</v>
      </c>
      <c r="B17" s="13"/>
      <c r="C17" s="13"/>
      <c r="D17" s="21"/>
      <c r="E17" s="279"/>
      <c r="F17" s="279"/>
      <c r="G17" s="279"/>
      <c r="H17" s="279"/>
    </row>
    <row r="18" spans="1:9" x14ac:dyDescent="0.25">
      <c r="A18" s="12" t="s">
        <v>9</v>
      </c>
      <c r="B18" s="13"/>
      <c r="C18" s="13"/>
      <c r="D18" s="21"/>
      <c r="E18" s="279"/>
      <c r="F18" s="279"/>
      <c r="G18" s="279"/>
      <c r="H18" s="279"/>
    </row>
    <row r="19" spans="1:9" ht="15.75" x14ac:dyDescent="0.25">
      <c r="A19" s="110"/>
      <c r="B19" s="269" t="s">
        <v>24</v>
      </c>
      <c r="C19" s="269"/>
      <c r="D19" s="269"/>
      <c r="E19" s="269"/>
      <c r="F19" s="269"/>
      <c r="G19" s="269"/>
      <c r="H19" s="269"/>
    </row>
    <row r="20" spans="1:9" ht="15.75" x14ac:dyDescent="0.25">
      <c r="A20" s="280" t="s">
        <v>25</v>
      </c>
      <c r="B20" s="280"/>
      <c r="C20" s="280"/>
      <c r="D20" s="280"/>
      <c r="E20" s="280"/>
      <c r="F20" s="280"/>
      <c r="G20" s="280"/>
      <c r="H20" s="280"/>
    </row>
    <row r="21" spans="1:9" x14ac:dyDescent="0.25">
      <c r="A21" s="12">
        <v>1</v>
      </c>
      <c r="B21" s="13" t="s">
        <v>20</v>
      </c>
      <c r="C21" s="13"/>
      <c r="D21" s="281" t="s">
        <v>179</v>
      </c>
      <c r="E21" s="281"/>
      <c r="F21" s="281"/>
      <c r="G21" s="281"/>
      <c r="H21" s="281"/>
    </row>
    <row r="22" spans="1:9" x14ac:dyDescent="0.25">
      <c r="A22" s="12">
        <v>2</v>
      </c>
      <c r="B22" s="13" t="s">
        <v>26</v>
      </c>
      <c r="C22" s="13"/>
      <c r="D22" s="282" t="s">
        <v>178</v>
      </c>
      <c r="E22" s="282"/>
      <c r="F22" s="282"/>
      <c r="G22" s="282"/>
      <c r="H22" s="282"/>
    </row>
    <row r="23" spans="1:9" x14ac:dyDescent="0.25">
      <c r="A23" s="12">
        <v>3</v>
      </c>
      <c r="B23" s="13" t="s">
        <v>27</v>
      </c>
      <c r="C23" s="13"/>
      <c r="D23" s="22">
        <v>1007.64</v>
      </c>
      <c r="E23" s="23"/>
      <c r="F23" s="23"/>
      <c r="G23" s="23"/>
      <c r="H23" s="23"/>
    </row>
    <row r="24" spans="1:9" ht="30" x14ac:dyDescent="0.25">
      <c r="A24" s="1">
        <v>4</v>
      </c>
      <c r="B24" s="24" t="s">
        <v>28</v>
      </c>
      <c r="C24" s="24"/>
      <c r="D24" s="283" t="s">
        <v>170</v>
      </c>
      <c r="E24" s="283"/>
      <c r="F24" s="283"/>
      <c r="G24" s="283"/>
      <c r="H24" s="283"/>
    </row>
    <row r="25" spans="1:9" x14ac:dyDescent="0.25">
      <c r="A25" s="1">
        <v>5</v>
      </c>
      <c r="B25" s="25" t="s">
        <v>29</v>
      </c>
      <c r="C25" s="25"/>
      <c r="D25" s="284" t="s">
        <v>171</v>
      </c>
      <c r="E25" s="284"/>
      <c r="F25" s="284"/>
      <c r="G25" s="284"/>
      <c r="H25" s="284"/>
    </row>
    <row r="26" spans="1:9" ht="15.75" x14ac:dyDescent="0.25">
      <c r="A26" s="26">
        <v>1</v>
      </c>
      <c r="B26" s="267" t="s">
        <v>30</v>
      </c>
      <c r="C26" s="267"/>
      <c r="D26" s="267"/>
      <c r="E26" s="267"/>
      <c r="F26" s="267"/>
      <c r="G26" s="267"/>
      <c r="H26" s="267"/>
    </row>
    <row r="27" spans="1:9" ht="15.75" x14ac:dyDescent="0.25">
      <c r="A27" s="1" t="s">
        <v>4</v>
      </c>
      <c r="B27" s="27" t="s">
        <v>31</v>
      </c>
      <c r="C27" s="27"/>
      <c r="D27" s="27"/>
      <c r="G27" s="28"/>
      <c r="H27" s="29">
        <v>1007.64</v>
      </c>
    </row>
    <row r="28" spans="1:9" ht="15.75" x14ac:dyDescent="0.25">
      <c r="A28" s="1" t="s">
        <v>7</v>
      </c>
      <c r="B28" s="6" t="s">
        <v>32</v>
      </c>
      <c r="C28" s="6"/>
      <c r="D28" s="30" t="s">
        <v>33</v>
      </c>
      <c r="E28" s="31">
        <v>0</v>
      </c>
      <c r="H28" s="32">
        <f>H27*E28</f>
        <v>0</v>
      </c>
    </row>
    <row r="29" spans="1:9" ht="30.75" x14ac:dyDescent="0.25">
      <c r="A29" s="127" t="s">
        <v>9</v>
      </c>
      <c r="B29" s="132" t="s">
        <v>187</v>
      </c>
      <c r="C29" s="133"/>
      <c r="D29" s="134" t="s">
        <v>35</v>
      </c>
      <c r="E29" s="135" t="s">
        <v>36</v>
      </c>
      <c r="F29" s="134" t="s">
        <v>37</v>
      </c>
      <c r="G29" s="136"/>
      <c r="H29" s="137">
        <f>E31*F31</f>
        <v>381.6</v>
      </c>
    </row>
    <row r="30" spans="1:9" ht="15.75" x14ac:dyDescent="0.25">
      <c r="A30" s="1" t="s">
        <v>17</v>
      </c>
      <c r="B30" s="6" t="s">
        <v>38</v>
      </c>
      <c r="C30" s="6"/>
      <c r="D30" s="30" t="s">
        <v>39</v>
      </c>
      <c r="E30" s="36">
        <v>0</v>
      </c>
      <c r="F30" s="37">
        <v>954</v>
      </c>
      <c r="G30" s="27"/>
      <c r="H30" s="38"/>
      <c r="I30">
        <v>40</v>
      </c>
    </row>
    <row r="31" spans="1:9" ht="15.75" x14ac:dyDescent="0.25">
      <c r="A31" s="1" t="s">
        <v>40</v>
      </c>
      <c r="B31" s="6" t="s">
        <v>41</v>
      </c>
      <c r="C31" s="6"/>
      <c r="E31">
        <v>0.4</v>
      </c>
      <c r="F31">
        <v>954</v>
      </c>
      <c r="G31" s="35"/>
      <c r="H31" s="38"/>
      <c r="I31">
        <v>40</v>
      </c>
    </row>
    <row r="32" spans="1:9" ht="15.75" x14ac:dyDescent="0.25">
      <c r="A32" s="1" t="s">
        <v>42</v>
      </c>
      <c r="B32" s="6" t="s">
        <v>159</v>
      </c>
      <c r="C32" s="6"/>
      <c r="G32" s="35"/>
      <c r="H32" s="38"/>
    </row>
    <row r="33" spans="1:9" ht="15.75" x14ac:dyDescent="0.25">
      <c r="A33" s="1" t="s">
        <v>61</v>
      </c>
      <c r="B33" s="6" t="s">
        <v>155</v>
      </c>
      <c r="C33" s="6"/>
      <c r="G33" s="35"/>
      <c r="H33" s="38"/>
    </row>
    <row r="34" spans="1:9" ht="15.75" x14ac:dyDescent="0.25">
      <c r="A34" s="1" t="s">
        <v>43</v>
      </c>
      <c r="B34" s="8" t="s">
        <v>160</v>
      </c>
      <c r="C34" s="8"/>
      <c r="G34" s="35"/>
      <c r="H34" s="38"/>
    </row>
    <row r="35" spans="1:9" ht="15.75" x14ac:dyDescent="0.25">
      <c r="A35" s="1" t="s">
        <v>161</v>
      </c>
      <c r="B35" s="8" t="s">
        <v>162</v>
      </c>
      <c r="C35" s="8"/>
      <c r="G35" s="35"/>
      <c r="H35" s="38"/>
    </row>
    <row r="36" spans="1:9" ht="15.75" x14ac:dyDescent="0.25">
      <c r="A36" s="1" t="s">
        <v>19</v>
      </c>
      <c r="B36" s="6" t="s">
        <v>44</v>
      </c>
      <c r="C36" s="6"/>
      <c r="D36" s="27"/>
      <c r="E36" s="27"/>
      <c r="F36" s="35"/>
      <c r="G36" s="35"/>
      <c r="H36" s="35">
        <v>0</v>
      </c>
    </row>
    <row r="37" spans="1:9" ht="15.75" x14ac:dyDescent="0.25">
      <c r="A37" s="39"/>
      <c r="B37" s="40" t="s">
        <v>45</v>
      </c>
      <c r="C37" s="40"/>
      <c r="D37" s="41"/>
      <c r="E37" s="41"/>
      <c r="F37" s="42"/>
      <c r="G37" s="42"/>
      <c r="H37" s="43">
        <f>SUM(H27:H36)</f>
        <v>1389.24</v>
      </c>
    </row>
    <row r="38" spans="1:9" ht="15.75" x14ac:dyDescent="0.25">
      <c r="A38" s="44">
        <v>2</v>
      </c>
      <c r="B38" s="285" t="s">
        <v>46</v>
      </c>
      <c r="C38" s="285"/>
      <c r="D38" s="285"/>
      <c r="E38" s="285"/>
      <c r="F38" s="285"/>
      <c r="G38" s="285"/>
      <c r="H38" s="285"/>
    </row>
    <row r="39" spans="1:9" ht="15.75" x14ac:dyDescent="0.25">
      <c r="A39" s="124" t="s">
        <v>47</v>
      </c>
      <c r="B39" s="286" t="s">
        <v>48</v>
      </c>
      <c r="C39" s="286"/>
      <c r="D39" s="286"/>
      <c r="E39" s="286"/>
      <c r="F39" s="286"/>
      <c r="G39" s="286"/>
      <c r="H39" s="286"/>
    </row>
    <row r="40" spans="1:9" ht="15.75" x14ac:dyDescent="0.25">
      <c r="A40" s="1" t="s">
        <v>4</v>
      </c>
      <c r="B40" s="8" t="s">
        <v>49</v>
      </c>
      <c r="C40" s="8"/>
      <c r="D40" s="8"/>
      <c r="E40" s="27"/>
      <c r="F40" s="28"/>
      <c r="G40" s="45">
        <v>8.3299999999999999E-2</v>
      </c>
      <c r="H40" s="28">
        <f>SUM($H$37*G40)</f>
        <v>115.723692</v>
      </c>
    </row>
    <row r="41" spans="1:9" ht="15.75" x14ac:dyDescent="0.25">
      <c r="A41" s="1" t="s">
        <v>7</v>
      </c>
      <c r="B41" s="27" t="s">
        <v>50</v>
      </c>
      <c r="C41" s="27"/>
      <c r="D41" s="27"/>
      <c r="E41" s="27"/>
      <c r="F41" s="46"/>
      <c r="G41" s="47">
        <v>0.121</v>
      </c>
      <c r="H41" s="28">
        <f>SUM($H$37*G41)</f>
        <v>168.09804</v>
      </c>
    </row>
    <row r="42" spans="1:9" ht="15.75" x14ac:dyDescent="0.25">
      <c r="A42" s="1" t="s">
        <v>9</v>
      </c>
      <c r="B42" s="48" t="s">
        <v>51</v>
      </c>
      <c r="C42" s="48"/>
      <c r="D42" s="27"/>
      <c r="E42" s="27"/>
      <c r="F42" s="46"/>
      <c r="G42" s="47">
        <f>G41+G40*G53</f>
        <v>0.15165439999999999</v>
      </c>
      <c r="H42" s="28">
        <f>SUM(H40:H41)*G53</f>
        <v>104.44639737600004</v>
      </c>
    </row>
    <row r="43" spans="1:9" ht="15.75" x14ac:dyDescent="0.25">
      <c r="A43" s="49"/>
      <c r="B43" s="50" t="s">
        <v>45</v>
      </c>
      <c r="C43" s="40"/>
      <c r="D43" s="41"/>
      <c r="E43" s="41"/>
      <c r="F43" s="42"/>
      <c r="G43" s="42"/>
      <c r="H43" s="43">
        <f>SUM(H40:H42)</f>
        <v>388.26812937600005</v>
      </c>
    </row>
    <row r="44" spans="1:9" ht="15.75" x14ac:dyDescent="0.25">
      <c r="A44" s="110" t="s">
        <v>52</v>
      </c>
      <c r="B44" s="269" t="s">
        <v>53</v>
      </c>
      <c r="C44" s="269"/>
      <c r="D44" s="269"/>
      <c r="E44" s="269"/>
      <c r="F44" s="269"/>
      <c r="G44" s="269"/>
      <c r="H44" s="269"/>
    </row>
    <row r="45" spans="1:9" ht="15.75" x14ac:dyDescent="0.25">
      <c r="A45" s="1" t="s">
        <v>4</v>
      </c>
      <c r="B45" s="51" t="s">
        <v>54</v>
      </c>
      <c r="C45" s="51"/>
      <c r="D45" s="27"/>
      <c r="E45" s="27"/>
      <c r="F45" s="28"/>
      <c r="G45" s="45">
        <v>0.2</v>
      </c>
      <c r="H45" s="28">
        <f t="shared" ref="H45:H52" si="0">SUM($H$37*G45)</f>
        <v>277.84800000000001</v>
      </c>
    </row>
    <row r="46" spans="1:9" ht="15.75" x14ac:dyDescent="0.25">
      <c r="A46" s="1" t="s">
        <v>7</v>
      </c>
      <c r="B46" s="51" t="s">
        <v>55</v>
      </c>
      <c r="C46" s="51"/>
      <c r="D46" s="278" t="s">
        <v>56</v>
      </c>
      <c r="E46" s="278"/>
      <c r="F46" s="28"/>
      <c r="G46" s="52">
        <v>1.4999999999999999E-2</v>
      </c>
      <c r="H46" s="28">
        <f t="shared" si="0"/>
        <v>20.8386</v>
      </c>
    </row>
    <row r="47" spans="1:9" ht="15.75" x14ac:dyDescent="0.25">
      <c r="A47" s="1" t="s">
        <v>9</v>
      </c>
      <c r="B47" s="51" t="s">
        <v>57</v>
      </c>
      <c r="C47" s="51"/>
      <c r="D47" s="278"/>
      <c r="E47" s="278"/>
      <c r="F47" s="28"/>
      <c r="G47" s="52">
        <v>0.01</v>
      </c>
      <c r="H47" s="28">
        <f t="shared" si="0"/>
        <v>13.8924</v>
      </c>
      <c r="I47" s="115"/>
    </row>
    <row r="48" spans="1:9" ht="15.75" x14ac:dyDescent="0.25">
      <c r="A48" s="1" t="s">
        <v>17</v>
      </c>
      <c r="B48" s="51" t="s">
        <v>58</v>
      </c>
      <c r="C48" s="51"/>
      <c r="D48" s="27"/>
      <c r="E48" s="27"/>
      <c r="F48" s="28"/>
      <c r="G48" s="52">
        <v>2E-3</v>
      </c>
      <c r="H48" s="28">
        <f t="shared" si="0"/>
        <v>2.7784800000000001</v>
      </c>
    </row>
    <row r="49" spans="1:9" ht="15.75" x14ac:dyDescent="0.25">
      <c r="A49" s="1" t="s">
        <v>40</v>
      </c>
      <c r="B49" s="51" t="s">
        <v>59</v>
      </c>
      <c r="C49" s="51"/>
      <c r="D49" s="27"/>
      <c r="E49" s="27"/>
      <c r="F49" s="28"/>
      <c r="G49" s="52">
        <v>2.5000000000000001E-2</v>
      </c>
      <c r="H49" s="28">
        <f t="shared" si="0"/>
        <v>34.731000000000002</v>
      </c>
    </row>
    <row r="50" spans="1:9" ht="15.75" x14ac:dyDescent="0.25">
      <c r="A50" s="1" t="s">
        <v>42</v>
      </c>
      <c r="B50" s="51" t="s">
        <v>60</v>
      </c>
      <c r="C50" s="51"/>
      <c r="D50" s="27"/>
      <c r="E50" s="27"/>
      <c r="F50" s="28"/>
      <c r="G50" s="45">
        <v>0.08</v>
      </c>
      <c r="H50" s="28">
        <f t="shared" si="0"/>
        <v>111.1392</v>
      </c>
    </row>
    <row r="51" spans="1:9" ht="15.75" x14ac:dyDescent="0.25">
      <c r="A51" s="127" t="s">
        <v>61</v>
      </c>
      <c r="B51" s="128" t="s">
        <v>62</v>
      </c>
      <c r="C51" s="128"/>
      <c r="D51" s="129"/>
      <c r="E51" s="129"/>
      <c r="F51" s="129"/>
      <c r="G51" s="130">
        <v>0.03</v>
      </c>
      <c r="H51" s="131">
        <f t="shared" si="0"/>
        <v>41.677199999999999</v>
      </c>
    </row>
    <row r="52" spans="1:9" ht="15.75" x14ac:dyDescent="0.25">
      <c r="A52" s="1" t="s">
        <v>43</v>
      </c>
      <c r="B52" s="51" t="s">
        <v>63</v>
      </c>
      <c r="C52" s="51"/>
      <c r="D52" s="27"/>
      <c r="E52" s="27"/>
      <c r="F52" s="28"/>
      <c r="G52" s="52">
        <v>6.0000000000000001E-3</v>
      </c>
      <c r="H52" s="28">
        <f t="shared" si="0"/>
        <v>8.3354400000000002</v>
      </c>
    </row>
    <row r="53" spans="1:9" ht="15.75" x14ac:dyDescent="0.25">
      <c r="A53" s="54"/>
      <c r="B53" s="55" t="s">
        <v>45</v>
      </c>
      <c r="C53" s="55"/>
      <c r="D53" s="40"/>
      <c r="E53" s="40"/>
      <c r="F53" s="56"/>
      <c r="G53" s="57">
        <f>SUM(G45:G52)</f>
        <v>0.3680000000000001</v>
      </c>
      <c r="H53" s="58">
        <f>SUM(H45:H52)</f>
        <v>511.24032000000005</v>
      </c>
      <c r="I53" s="121">
        <f>H53+H42</f>
        <v>615.68671737600005</v>
      </c>
    </row>
    <row r="54" spans="1:9" ht="15.75" x14ac:dyDescent="0.25">
      <c r="A54" s="110" t="s">
        <v>64</v>
      </c>
      <c r="B54" s="269" t="s">
        <v>65</v>
      </c>
      <c r="C54" s="269"/>
      <c r="D54" s="269"/>
      <c r="E54" s="269"/>
      <c r="F54" s="269"/>
      <c r="G54" s="269"/>
      <c r="H54" s="269"/>
    </row>
    <row r="55" spans="1:9" ht="15.75" x14ac:dyDescent="0.25">
      <c r="A55" s="6" t="s">
        <v>66</v>
      </c>
      <c r="B55" s="59"/>
      <c r="C55" s="59"/>
      <c r="D55" s="60" t="s">
        <v>67</v>
      </c>
      <c r="E55" s="60" t="s">
        <v>68</v>
      </c>
      <c r="F55" s="60" t="s">
        <v>69</v>
      </c>
      <c r="G55" s="60" t="s">
        <v>70</v>
      </c>
      <c r="H55" s="6"/>
    </row>
    <row r="56" spans="1:9" ht="15.75" x14ac:dyDescent="0.25">
      <c r="A56" s="270" t="s">
        <v>4</v>
      </c>
      <c r="B56" s="6" t="s">
        <v>71</v>
      </c>
      <c r="C56" s="6"/>
      <c r="D56" s="271"/>
      <c r="E56" s="272"/>
      <c r="F56" s="273"/>
      <c r="G56" s="274"/>
      <c r="H56" s="35">
        <f>F56*E56*D56</f>
        <v>0</v>
      </c>
    </row>
    <row r="57" spans="1:9" ht="15.75" x14ac:dyDescent="0.25">
      <c r="A57" s="270"/>
      <c r="B57" s="6" t="s">
        <v>72</v>
      </c>
      <c r="C57" s="6"/>
      <c r="D57" s="271"/>
      <c r="E57" s="271"/>
      <c r="F57" s="271"/>
      <c r="G57" s="271"/>
      <c r="H57" s="35">
        <f>H27*G56</f>
        <v>0</v>
      </c>
    </row>
    <row r="58" spans="1:9" ht="15.75" x14ac:dyDescent="0.25">
      <c r="A58" s="270"/>
      <c r="B58" s="8" t="s">
        <v>73</v>
      </c>
      <c r="C58" s="8"/>
      <c r="D58" s="8"/>
      <c r="E58" s="27"/>
      <c r="F58" s="27"/>
      <c r="G58" s="61"/>
      <c r="H58" s="35">
        <f>H56-H57</f>
        <v>0</v>
      </c>
    </row>
    <row r="59" spans="1:9" ht="15.75" x14ac:dyDescent="0.25">
      <c r="A59" s="270" t="s">
        <v>7</v>
      </c>
      <c r="B59" s="6" t="s">
        <v>74</v>
      </c>
      <c r="C59" s="6"/>
      <c r="D59" s="271">
        <v>1</v>
      </c>
      <c r="E59" s="272">
        <v>1</v>
      </c>
      <c r="F59" s="273">
        <v>0</v>
      </c>
      <c r="G59" s="274">
        <v>0.2</v>
      </c>
      <c r="H59" s="35">
        <f>F59*E59*D59</f>
        <v>0</v>
      </c>
    </row>
    <row r="60" spans="1:9" ht="15.75" x14ac:dyDescent="0.25">
      <c r="A60" s="270"/>
      <c r="B60" s="6" t="s">
        <v>72</v>
      </c>
      <c r="C60" s="6"/>
      <c r="D60" s="271"/>
      <c r="E60" s="271"/>
      <c r="F60" s="271"/>
      <c r="G60" s="271"/>
      <c r="H60" s="35">
        <f>H59*G59</f>
        <v>0</v>
      </c>
    </row>
    <row r="61" spans="1:9" ht="15.75" x14ac:dyDescent="0.25">
      <c r="A61" s="270"/>
      <c r="B61" s="275" t="s">
        <v>75</v>
      </c>
      <c r="C61" s="275"/>
      <c r="D61" s="275"/>
      <c r="E61" s="275"/>
      <c r="F61" s="13"/>
      <c r="G61" s="13"/>
      <c r="H61" s="35">
        <f>H59-H60</f>
        <v>0</v>
      </c>
    </row>
    <row r="62" spans="1:9" ht="15.75" x14ac:dyDescent="0.25">
      <c r="A62" s="62" t="s">
        <v>9</v>
      </c>
      <c r="B62" s="275" t="s">
        <v>76</v>
      </c>
      <c r="C62" s="275"/>
      <c r="D62" s="275"/>
      <c r="E62" s="275"/>
      <c r="F62" s="13"/>
      <c r="G62" s="13"/>
      <c r="H62" s="35">
        <v>0</v>
      </c>
    </row>
    <row r="63" spans="1:9" ht="15.75" x14ac:dyDescent="0.25">
      <c r="A63" s="62" t="s">
        <v>17</v>
      </c>
      <c r="B63" s="117" t="s">
        <v>177</v>
      </c>
      <c r="C63" s="117"/>
      <c r="D63" s="117"/>
      <c r="E63" s="117" t="s">
        <v>163</v>
      </c>
      <c r="F63" s="13"/>
      <c r="G63" s="13"/>
      <c r="H63" s="35">
        <v>100</v>
      </c>
    </row>
    <row r="64" spans="1:9" ht="15.75" x14ac:dyDescent="0.25">
      <c r="A64" s="62" t="s">
        <v>40</v>
      </c>
      <c r="B64" s="116" t="s">
        <v>224</v>
      </c>
      <c r="C64" s="117"/>
      <c r="D64" s="117"/>
      <c r="E64" s="117"/>
      <c r="F64" s="13"/>
      <c r="G64" s="13"/>
      <c r="H64" s="35">
        <v>3.53</v>
      </c>
    </row>
    <row r="65" spans="1:13" ht="15.75" x14ac:dyDescent="0.25">
      <c r="A65" s="62" t="s">
        <v>42</v>
      </c>
      <c r="B65" s="116" t="s">
        <v>78</v>
      </c>
      <c r="C65" s="116"/>
      <c r="D65" s="116"/>
      <c r="E65" s="118">
        <v>0</v>
      </c>
      <c r="H65" s="35">
        <f>(1/12*H27)*E65</f>
        <v>0</v>
      </c>
      <c r="J65" s="125"/>
      <c r="K65" s="13"/>
      <c r="L65" s="13"/>
      <c r="M65" s="35"/>
    </row>
    <row r="66" spans="1:13" ht="15.75" x14ac:dyDescent="0.25">
      <c r="A66" s="63"/>
      <c r="B66" s="276" t="s">
        <v>45</v>
      </c>
      <c r="C66" s="276"/>
      <c r="D66" s="276"/>
      <c r="E66" s="276"/>
      <c r="F66" s="64"/>
      <c r="G66" s="64"/>
      <c r="H66" s="65">
        <f>H58+H61+H62+H63+H64+H65</f>
        <v>103.53</v>
      </c>
    </row>
    <row r="67" spans="1:13" ht="15.75" x14ac:dyDescent="0.25">
      <c r="A67" s="269" t="s">
        <v>79</v>
      </c>
      <c r="B67" s="269"/>
      <c r="C67" s="269"/>
      <c r="D67" s="269"/>
      <c r="E67" s="269"/>
      <c r="F67" s="269"/>
      <c r="G67" s="269"/>
      <c r="H67" s="269"/>
    </row>
    <row r="68" spans="1:13" ht="15.75" x14ac:dyDescent="0.25">
      <c r="A68" s="62" t="s">
        <v>47</v>
      </c>
      <c r="B68" s="8" t="s">
        <v>80</v>
      </c>
      <c r="C68" s="8"/>
      <c r="D68" s="66"/>
      <c r="E68" s="66"/>
      <c r="F68" s="13"/>
      <c r="G68" s="13"/>
      <c r="H68" s="67">
        <f>H43</f>
        <v>388.26812937600005</v>
      </c>
    </row>
    <row r="69" spans="1:13" ht="15.75" x14ac:dyDescent="0.25">
      <c r="A69" s="62" t="s">
        <v>52</v>
      </c>
      <c r="B69" s="8" t="s">
        <v>81</v>
      </c>
      <c r="C69" s="8"/>
      <c r="D69" s="66"/>
      <c r="E69" s="66"/>
      <c r="F69" s="13"/>
      <c r="G69" s="13"/>
      <c r="H69" s="67">
        <f>H53</f>
        <v>511.24032000000005</v>
      </c>
    </row>
    <row r="70" spans="1:13" ht="15.75" x14ac:dyDescent="0.25">
      <c r="A70" s="62" t="s">
        <v>64</v>
      </c>
      <c r="B70" s="8" t="s">
        <v>82</v>
      </c>
      <c r="C70" s="8"/>
      <c r="D70" s="66"/>
      <c r="E70" s="66"/>
      <c r="F70" s="13"/>
      <c r="G70" s="13"/>
      <c r="H70" s="67">
        <f>H66</f>
        <v>103.53</v>
      </c>
    </row>
    <row r="71" spans="1:13" ht="15.75" x14ac:dyDescent="0.25">
      <c r="A71" s="63"/>
      <c r="B71" s="126" t="s">
        <v>45</v>
      </c>
      <c r="C71" s="126"/>
      <c r="D71" s="126"/>
      <c r="E71" s="126"/>
      <c r="F71" s="64"/>
      <c r="G71" s="64"/>
      <c r="H71" s="65">
        <f>SUM(H68:H70)</f>
        <v>1003.038449376</v>
      </c>
    </row>
    <row r="72" spans="1:13" ht="15.75" x14ac:dyDescent="0.25">
      <c r="A72" s="68">
        <v>3</v>
      </c>
      <c r="B72" s="267" t="s">
        <v>83</v>
      </c>
      <c r="C72" s="267"/>
      <c r="D72" s="267"/>
      <c r="E72" s="267"/>
      <c r="F72" s="267"/>
      <c r="G72" s="267"/>
      <c r="H72" s="267"/>
    </row>
    <row r="73" spans="1:13" ht="15.75" x14ac:dyDescent="0.25">
      <c r="A73" s="1" t="s">
        <v>4</v>
      </c>
      <c r="B73" s="48" t="s">
        <v>84</v>
      </c>
      <c r="C73" s="48"/>
      <c r="D73" s="69"/>
      <c r="E73" s="69"/>
      <c r="F73" s="69"/>
      <c r="G73" s="45">
        <v>4.1999999999999997E-3</v>
      </c>
      <c r="H73" s="28">
        <f>SUM($H$37*G73)</f>
        <v>5.8348079999999998</v>
      </c>
    </row>
    <row r="74" spans="1:13" ht="15.75" x14ac:dyDescent="0.25">
      <c r="A74" s="1" t="s">
        <v>7</v>
      </c>
      <c r="B74" s="48" t="s">
        <v>85</v>
      </c>
      <c r="C74" s="48"/>
      <c r="D74" s="27"/>
      <c r="E74" s="27"/>
      <c r="F74" s="28"/>
      <c r="G74" s="45">
        <f>G73*0.08</f>
        <v>3.3599999999999998E-4</v>
      </c>
      <c r="H74" s="28">
        <f>SUM($H$37*G74)</f>
        <v>0.46678463999999997</v>
      </c>
      <c r="I74" s="115"/>
    </row>
    <row r="75" spans="1:13" ht="15.75" x14ac:dyDescent="0.25">
      <c r="A75" s="1" t="s">
        <v>9</v>
      </c>
      <c r="B75" s="48" t="s">
        <v>86</v>
      </c>
      <c r="C75" s="48"/>
      <c r="D75" s="70"/>
      <c r="E75" s="70"/>
      <c r="F75" s="70"/>
      <c r="G75" s="71">
        <v>2.0000000000000001E-4</v>
      </c>
      <c r="H75" s="72">
        <f>(ROUND(SUM($H$37*G75),2))</f>
        <v>0.28000000000000003</v>
      </c>
    </row>
    <row r="76" spans="1:13" ht="15.75" x14ac:dyDescent="0.25">
      <c r="A76" s="1" t="s">
        <v>17</v>
      </c>
      <c r="B76" s="27" t="s">
        <v>87</v>
      </c>
      <c r="C76" s="27"/>
      <c r="D76" s="69"/>
      <c r="E76" s="69"/>
      <c r="F76" s="69"/>
      <c r="G76" s="45">
        <v>1.9400000000000001E-2</v>
      </c>
      <c r="H76" s="28">
        <f>SUM($H$37*G76)</f>
        <v>26.951256000000001</v>
      </c>
    </row>
    <row r="77" spans="1:13" ht="15.75" x14ac:dyDescent="0.25">
      <c r="A77" s="1" t="s">
        <v>40</v>
      </c>
      <c r="B77" s="48" t="s">
        <v>226</v>
      </c>
      <c r="C77" s="48"/>
      <c r="D77" s="27"/>
      <c r="E77" s="27"/>
      <c r="F77" s="28"/>
      <c r="G77" s="45">
        <f>G76*G53</f>
        <v>7.1392000000000027E-3</v>
      </c>
      <c r="H77" s="28">
        <f>SUM($H$37*G77)</f>
        <v>9.9180622080000038</v>
      </c>
      <c r="I77" s="115"/>
    </row>
    <row r="78" spans="1:13" ht="15.75" x14ac:dyDescent="0.25">
      <c r="A78" s="1" t="s">
        <v>42</v>
      </c>
      <c r="B78" s="27" t="s">
        <v>89</v>
      </c>
      <c r="C78" s="27"/>
      <c r="D78" s="70"/>
      <c r="E78" s="70"/>
      <c r="F78" s="70"/>
      <c r="G78" s="52">
        <v>1E-4</v>
      </c>
      <c r="H78" s="28">
        <f>SUM($H$37*G78)</f>
        <v>0.13892400000000002</v>
      </c>
    </row>
    <row r="79" spans="1:13" ht="15.75" x14ac:dyDescent="0.25">
      <c r="A79" s="73"/>
      <c r="B79" s="55" t="s">
        <v>45</v>
      </c>
      <c r="C79" s="55"/>
      <c r="D79" s="41"/>
      <c r="E79" s="41"/>
      <c r="F79" s="74"/>
      <c r="G79" s="57">
        <f>SUM(G73:G78)</f>
        <v>3.1375200000000006E-2</v>
      </c>
      <c r="H79" s="58">
        <f>SUM(H73:H78)</f>
        <v>43.589834848000002</v>
      </c>
    </row>
    <row r="80" spans="1:13" ht="15.75" x14ac:dyDescent="0.25">
      <c r="A80" s="44">
        <v>4</v>
      </c>
      <c r="B80" s="277" t="s">
        <v>90</v>
      </c>
      <c r="C80" s="277"/>
      <c r="D80" s="277"/>
      <c r="E80" s="277"/>
      <c r="F80" s="277"/>
      <c r="G80" s="277"/>
      <c r="H80" s="277"/>
    </row>
    <row r="81" spans="1:9" ht="15.75" x14ac:dyDescent="0.25">
      <c r="A81" s="75" t="s">
        <v>91</v>
      </c>
      <c r="B81" s="269" t="s">
        <v>237</v>
      </c>
      <c r="C81" s="269"/>
      <c r="D81" s="269"/>
      <c r="E81" s="269"/>
      <c r="F81" s="269"/>
      <c r="G81" s="269"/>
      <c r="H81" s="269"/>
    </row>
    <row r="82" spans="1:9" ht="15.75" x14ac:dyDescent="0.25">
      <c r="A82" s="12" t="s">
        <v>4</v>
      </c>
      <c r="B82" s="51" t="s">
        <v>227</v>
      </c>
      <c r="C82" s="51"/>
      <c r="D82" s="53"/>
      <c r="E82" s="53"/>
      <c r="F82" s="53"/>
      <c r="G82" s="45">
        <f>(G40+G41)/12</f>
        <v>1.7024999999999998E-2</v>
      </c>
      <c r="H82" s="28"/>
    </row>
    <row r="83" spans="1:9" ht="15.75" x14ac:dyDescent="0.25">
      <c r="A83" s="123" t="s">
        <v>7</v>
      </c>
      <c r="B83" s="51" t="s">
        <v>228</v>
      </c>
      <c r="C83" s="268" t="s">
        <v>95</v>
      </c>
      <c r="D83" s="76">
        <v>1</v>
      </c>
      <c r="E83" s="268" t="s">
        <v>96</v>
      </c>
      <c r="F83" s="77">
        <v>1</v>
      </c>
      <c r="G83" s="45">
        <f t="shared" ref="G83:G88" si="1">D83/360*F83</f>
        <v>2.7777777777777779E-3</v>
      </c>
      <c r="H83" s="28">
        <f>SUM(H$37*G83)</f>
        <v>3.859</v>
      </c>
    </row>
    <row r="84" spans="1:9" ht="15.75" x14ac:dyDescent="0.25">
      <c r="A84" s="12" t="s">
        <v>9</v>
      </c>
      <c r="B84" s="51" t="s">
        <v>229</v>
      </c>
      <c r="C84" s="268"/>
      <c r="D84" s="76">
        <v>20</v>
      </c>
      <c r="E84" s="268"/>
      <c r="F84" s="77">
        <v>1.4999999999999999E-2</v>
      </c>
      <c r="G84" s="45">
        <f t="shared" si="1"/>
        <v>8.3333333333333328E-4</v>
      </c>
      <c r="H84" s="28">
        <f>SUM(H$37*G84)</f>
        <v>1.1577</v>
      </c>
    </row>
    <row r="85" spans="1:9" ht="15.75" x14ac:dyDescent="0.25">
      <c r="A85" s="12" t="s">
        <v>17</v>
      </c>
      <c r="B85" s="51" t="s">
        <v>230</v>
      </c>
      <c r="C85" s="268"/>
      <c r="D85" s="76">
        <v>15</v>
      </c>
      <c r="E85" s="268"/>
      <c r="F85" s="78">
        <v>1.3299999999999999E-2</v>
      </c>
      <c r="G85" s="45">
        <f t="shared" si="1"/>
        <v>5.5416666666666657E-4</v>
      </c>
      <c r="H85" s="28">
        <f>SUM(H$37*G85)</f>
        <v>0.7698704999999999</v>
      </c>
    </row>
    <row r="86" spans="1:9" ht="15.75" x14ac:dyDescent="0.25">
      <c r="A86" s="12" t="s">
        <v>40</v>
      </c>
      <c r="B86" s="51" t="s">
        <v>231</v>
      </c>
      <c r="C86" s="268"/>
      <c r="D86" s="76">
        <v>180</v>
      </c>
      <c r="E86" s="268"/>
      <c r="F86" s="77">
        <v>1.8599999999999998E-2</v>
      </c>
      <c r="G86" s="45">
        <f t="shared" si="1"/>
        <v>9.2999999999999992E-3</v>
      </c>
      <c r="H86" s="28">
        <f>SUM(H$37*G86)</f>
        <v>12.919931999999999</v>
      </c>
    </row>
    <row r="87" spans="1:9" ht="15.75" x14ac:dyDescent="0.25">
      <c r="A87" s="12" t="s">
        <v>42</v>
      </c>
      <c r="B87" s="51" t="s">
        <v>232</v>
      </c>
      <c r="C87" s="268"/>
      <c r="D87" s="79">
        <v>5</v>
      </c>
      <c r="E87" s="268"/>
      <c r="F87" s="80">
        <v>1</v>
      </c>
      <c r="G87" s="45">
        <f t="shared" si="1"/>
        <v>1.3888888888888888E-2</v>
      </c>
      <c r="H87" s="81">
        <f>SUM(H$37*G87)</f>
        <v>19.294999999999998</v>
      </c>
    </row>
    <row r="88" spans="1:9" ht="15.75" x14ac:dyDescent="0.25">
      <c r="A88" s="12" t="s">
        <v>61</v>
      </c>
      <c r="B88" s="51" t="s">
        <v>101</v>
      </c>
      <c r="C88" s="268"/>
      <c r="D88" s="79"/>
      <c r="E88" s="268"/>
      <c r="F88" s="82"/>
      <c r="G88" s="45">
        <f t="shared" si="1"/>
        <v>0</v>
      </c>
      <c r="H88" s="81"/>
    </row>
    <row r="89" spans="1:9" ht="15.75" x14ac:dyDescent="0.25">
      <c r="A89" s="19"/>
      <c r="B89" s="6" t="s">
        <v>102</v>
      </c>
      <c r="C89" s="6"/>
      <c r="D89" s="27"/>
      <c r="E89" s="27"/>
      <c r="F89" s="28"/>
      <c r="G89" s="45">
        <f>SUM(G82:G88)</f>
        <v>4.4379166666666664E-2</v>
      </c>
      <c r="H89" s="28">
        <f>SUM(H82:H88)</f>
        <v>38.001502500000001</v>
      </c>
    </row>
    <row r="90" spans="1:9" ht="15.75" x14ac:dyDescent="0.25">
      <c r="A90" s="12" t="s">
        <v>42</v>
      </c>
      <c r="B90" s="51" t="s">
        <v>103</v>
      </c>
      <c r="C90" s="51"/>
      <c r="D90" s="27"/>
      <c r="E90" s="27"/>
      <c r="F90" s="28"/>
      <c r="G90" s="45">
        <f>G89*G53</f>
        <v>1.6331533333333335E-2</v>
      </c>
      <c r="H90" s="28">
        <f>SUM(H89*G53)</f>
        <v>13.984552920000004</v>
      </c>
      <c r="I90" s="115">
        <f>SUM(H83:H89)*G53</f>
        <v>27.969105840000008</v>
      </c>
    </row>
    <row r="91" spans="1:9" ht="15.75" x14ac:dyDescent="0.25">
      <c r="A91" s="73"/>
      <c r="B91" s="55" t="s">
        <v>45</v>
      </c>
      <c r="C91" s="55"/>
      <c r="D91" s="41"/>
      <c r="E91" s="41"/>
      <c r="F91" s="74"/>
      <c r="G91" s="57">
        <f>G90+G89</f>
        <v>6.0710699999999999E-2</v>
      </c>
      <c r="H91" s="58">
        <f>SUM(H89:H90)</f>
        <v>51.986055420000007</v>
      </c>
    </row>
    <row r="92" spans="1:9" ht="15.75" x14ac:dyDescent="0.25">
      <c r="A92" s="75" t="s">
        <v>104</v>
      </c>
      <c r="B92" s="269" t="s">
        <v>233</v>
      </c>
      <c r="C92" s="269"/>
      <c r="D92" s="269"/>
      <c r="E92" s="269"/>
      <c r="F92" s="269"/>
      <c r="G92" s="269"/>
      <c r="H92" s="269"/>
    </row>
    <row r="93" spans="1:9" ht="15.75" x14ac:dyDescent="0.25">
      <c r="A93" s="12" t="s">
        <v>4</v>
      </c>
      <c r="B93" s="51" t="s">
        <v>235</v>
      </c>
      <c r="C93" s="51"/>
      <c r="D93" s="53"/>
      <c r="E93" s="53"/>
      <c r="F93" s="53"/>
      <c r="G93" s="52">
        <v>0</v>
      </c>
      <c r="H93" s="28">
        <f>SUM(H$37*G93)</f>
        <v>0</v>
      </c>
    </row>
    <row r="94" spans="1:9" ht="15.75" x14ac:dyDescent="0.25">
      <c r="A94" s="12" t="s">
        <v>7</v>
      </c>
      <c r="B94" s="51" t="s">
        <v>107</v>
      </c>
      <c r="C94" s="51"/>
      <c r="D94" s="53"/>
      <c r="E94" s="53"/>
      <c r="F94" s="53"/>
      <c r="G94" s="45">
        <f>G93*G53</f>
        <v>0</v>
      </c>
      <c r="H94" s="28">
        <f>SUM($H$37*G94)</f>
        <v>0</v>
      </c>
    </row>
    <row r="95" spans="1:9" ht="15.75" x14ac:dyDescent="0.25">
      <c r="A95" s="73"/>
      <c r="B95" s="55" t="s">
        <v>45</v>
      </c>
      <c r="C95" s="55"/>
      <c r="D95" s="41"/>
      <c r="E95" s="41"/>
      <c r="F95" s="74"/>
      <c r="G95" s="57">
        <f>G94+G93</f>
        <v>0</v>
      </c>
      <c r="H95" s="58">
        <f>SUM(H93:H94)</f>
        <v>0</v>
      </c>
    </row>
    <row r="96" spans="1:9" ht="15.75" x14ac:dyDescent="0.25">
      <c r="A96" s="269" t="s">
        <v>108</v>
      </c>
      <c r="B96" s="269"/>
      <c r="C96" s="269"/>
      <c r="D96" s="269"/>
      <c r="E96" s="269"/>
      <c r="F96" s="269"/>
      <c r="G96" s="269"/>
      <c r="H96" s="269"/>
    </row>
    <row r="97" spans="1:10" ht="15.75" x14ac:dyDescent="0.25">
      <c r="A97" s="12" t="s">
        <v>91</v>
      </c>
      <c r="B97" s="51" t="s">
        <v>236</v>
      </c>
      <c r="C97" s="51"/>
      <c r="D97" s="53"/>
      <c r="E97" s="53"/>
      <c r="F97" s="53"/>
      <c r="G97" s="45">
        <f>G91</f>
        <v>6.0710699999999999E-2</v>
      </c>
      <c r="H97" s="28">
        <f>H91</f>
        <v>51.986055420000007</v>
      </c>
    </row>
    <row r="98" spans="1:10" ht="15.75" x14ac:dyDescent="0.25">
      <c r="A98" s="12" t="s">
        <v>104</v>
      </c>
      <c r="B98" s="51" t="s">
        <v>234</v>
      </c>
      <c r="C98" s="51"/>
      <c r="D98" s="53"/>
      <c r="E98" s="53"/>
      <c r="F98" s="53"/>
      <c r="G98" s="45">
        <f>G95</f>
        <v>0</v>
      </c>
      <c r="H98" s="28">
        <f>H95</f>
        <v>0</v>
      </c>
    </row>
    <row r="99" spans="1:10" ht="15.75" x14ac:dyDescent="0.25">
      <c r="A99" s="73"/>
      <c r="B99" s="55" t="s">
        <v>45</v>
      </c>
      <c r="C99" s="55"/>
      <c r="D99" s="41"/>
      <c r="E99" s="41"/>
      <c r="F99" s="74"/>
      <c r="G99" s="57">
        <f>G95+G91</f>
        <v>6.0710699999999999E-2</v>
      </c>
      <c r="H99" s="58">
        <f>SUM(H97:H98)</f>
        <v>51.986055420000007</v>
      </c>
    </row>
    <row r="100" spans="1:10" ht="15.75" x14ac:dyDescent="0.25">
      <c r="A100" s="83">
        <v>5</v>
      </c>
      <c r="B100" s="269" t="s">
        <v>110</v>
      </c>
      <c r="C100" s="269"/>
      <c r="D100" s="269"/>
      <c r="E100" s="269"/>
      <c r="F100" s="269"/>
      <c r="G100" s="269"/>
      <c r="H100" s="269"/>
    </row>
    <row r="101" spans="1:10" ht="15.75" x14ac:dyDescent="0.25">
      <c r="A101" s="12" t="s">
        <v>4</v>
      </c>
      <c r="B101" s="13" t="s">
        <v>111</v>
      </c>
      <c r="C101" s="13"/>
      <c r="D101" s="84"/>
      <c r="E101" s="27"/>
      <c r="F101" s="85"/>
      <c r="G101" s="85"/>
      <c r="H101" s="85">
        <v>23.84</v>
      </c>
    </row>
    <row r="102" spans="1:10" ht="15.75" x14ac:dyDescent="0.25">
      <c r="A102" s="12" t="s">
        <v>7</v>
      </c>
      <c r="B102" s="13" t="s">
        <v>112</v>
      </c>
      <c r="C102" s="13"/>
      <c r="D102" s="84"/>
      <c r="E102" s="27"/>
      <c r="F102" s="85"/>
      <c r="G102" s="85"/>
      <c r="H102" s="85"/>
    </row>
    <row r="103" spans="1:10" ht="15.75" x14ac:dyDescent="0.25">
      <c r="A103" s="12" t="s">
        <v>9</v>
      </c>
      <c r="B103" s="13" t="s">
        <v>113</v>
      </c>
      <c r="C103" s="13"/>
      <c r="D103" s="84"/>
      <c r="E103" s="27"/>
      <c r="F103" s="85"/>
      <c r="G103" s="85"/>
      <c r="H103" s="85">
        <v>5.21</v>
      </c>
    </row>
    <row r="104" spans="1:10" ht="15.75" x14ac:dyDescent="0.25">
      <c r="A104" s="12" t="s">
        <v>17</v>
      </c>
      <c r="B104" s="13" t="s">
        <v>164</v>
      </c>
      <c r="C104" s="13"/>
      <c r="D104" s="84"/>
      <c r="E104" s="27"/>
      <c r="F104" s="85"/>
      <c r="G104" s="85"/>
      <c r="H104" s="85">
        <v>44.75</v>
      </c>
    </row>
    <row r="105" spans="1:10" ht="15.75" x14ac:dyDescent="0.25">
      <c r="A105" s="12" t="s">
        <v>40</v>
      </c>
      <c r="B105" s="13" t="s">
        <v>101</v>
      </c>
      <c r="C105" s="13"/>
      <c r="D105" s="84"/>
      <c r="E105" s="27"/>
      <c r="F105" s="85"/>
      <c r="G105" s="85"/>
      <c r="H105" s="85">
        <v>0</v>
      </c>
    </row>
    <row r="106" spans="1:10" ht="15.75" x14ac:dyDescent="0.25">
      <c r="A106" s="73"/>
      <c r="B106" s="55" t="s">
        <v>45</v>
      </c>
      <c r="C106" s="55"/>
      <c r="D106" s="41"/>
      <c r="E106" s="41"/>
      <c r="F106" s="74"/>
      <c r="G106" s="57"/>
      <c r="H106" s="58">
        <f>SUM(H101:H105)</f>
        <v>73.8</v>
      </c>
    </row>
    <row r="107" spans="1:10" ht="15.75" x14ac:dyDescent="0.25">
      <c r="A107" s="83">
        <v>6</v>
      </c>
      <c r="B107" s="269" t="s">
        <v>114</v>
      </c>
      <c r="C107" s="269"/>
      <c r="D107" s="269"/>
      <c r="E107" s="269"/>
      <c r="F107" s="269"/>
      <c r="G107" s="269"/>
      <c r="H107" s="269"/>
    </row>
    <row r="108" spans="1:10" ht="15.75" x14ac:dyDescent="0.25">
      <c r="A108" s="86" t="s">
        <v>4</v>
      </c>
      <c r="B108" s="27"/>
      <c r="C108" s="27"/>
      <c r="D108" s="27"/>
      <c r="E108" s="27"/>
      <c r="F108" s="27" t="s">
        <v>115</v>
      </c>
      <c r="G108" s="52">
        <v>0.01</v>
      </c>
      <c r="H108" s="28">
        <f>G108*H123</f>
        <v>25.616543396440001</v>
      </c>
    </row>
    <row r="109" spans="1:10" ht="15.75" x14ac:dyDescent="0.25">
      <c r="A109" s="86" t="s">
        <v>7</v>
      </c>
      <c r="B109" s="27"/>
      <c r="C109" s="27"/>
      <c r="D109" s="27"/>
      <c r="E109" s="27"/>
      <c r="F109" s="12" t="s">
        <v>116</v>
      </c>
      <c r="G109" s="52">
        <v>0.01</v>
      </c>
      <c r="H109" s="28">
        <f>(H108+H123)*$G$109</f>
        <v>25.872708830404406</v>
      </c>
    </row>
    <row r="110" spans="1:10" ht="15.75" x14ac:dyDescent="0.25">
      <c r="A110" s="86" t="s">
        <v>9</v>
      </c>
      <c r="B110" s="27"/>
      <c r="C110" s="27"/>
      <c r="D110" s="27"/>
      <c r="E110" s="27"/>
      <c r="F110" s="12" t="s">
        <v>117</v>
      </c>
      <c r="G110" s="87">
        <f>SUM(G111:G115)</f>
        <v>8.6499999999999994E-2</v>
      </c>
      <c r="H110" s="28">
        <f>H112+H113+H115</f>
        <v>247.44052621437118</v>
      </c>
    </row>
    <row r="111" spans="1:10" ht="15.75" x14ac:dyDescent="0.25">
      <c r="A111" s="86" t="s">
        <v>118</v>
      </c>
      <c r="B111" s="27"/>
      <c r="C111" s="27"/>
      <c r="D111" s="27"/>
      <c r="E111" s="27"/>
      <c r="F111" s="88" t="s">
        <v>119</v>
      </c>
      <c r="G111" s="45">
        <v>0</v>
      </c>
      <c r="H111" s="28"/>
    </row>
    <row r="112" spans="1:10" ht="15.75" x14ac:dyDescent="0.25">
      <c r="A112" s="86" t="s">
        <v>120</v>
      </c>
      <c r="B112" s="27"/>
      <c r="C112" s="27"/>
      <c r="D112" s="27"/>
      <c r="E112" s="27"/>
      <c r="F112" s="88" t="s">
        <v>121</v>
      </c>
      <c r="G112" s="52">
        <v>6.4999999999999997E-3</v>
      </c>
      <c r="H112" s="28">
        <f>((H108+H109+H123)/0.9135)*G112</f>
        <v>18.593796767553901</v>
      </c>
      <c r="J112" s="120"/>
    </row>
    <row r="113" spans="1:9" ht="15.75" x14ac:dyDescent="0.25">
      <c r="A113" s="86" t="s">
        <v>122</v>
      </c>
      <c r="B113" s="27"/>
      <c r="C113" s="27"/>
      <c r="D113" s="27"/>
      <c r="E113" s="27"/>
      <c r="F113" s="88" t="s">
        <v>123</v>
      </c>
      <c r="G113" s="52">
        <v>0.03</v>
      </c>
      <c r="H113" s="28">
        <f>((H108+H109+H123)/0.9135)*G113</f>
        <v>85.817523542556472</v>
      </c>
    </row>
    <row r="114" spans="1:9" ht="15.75" x14ac:dyDescent="0.25">
      <c r="A114" s="86" t="s">
        <v>124</v>
      </c>
      <c r="B114" s="27"/>
      <c r="C114" s="27"/>
      <c r="D114" s="27"/>
      <c r="E114" s="27"/>
      <c r="F114" s="88" t="s">
        <v>125</v>
      </c>
      <c r="G114" s="45">
        <v>0</v>
      </c>
      <c r="H114" s="28"/>
    </row>
    <row r="115" spans="1:9" ht="15.75" x14ac:dyDescent="0.25">
      <c r="A115" s="86" t="s">
        <v>126</v>
      </c>
      <c r="B115" s="27"/>
      <c r="C115" s="27"/>
      <c r="D115" s="27"/>
      <c r="E115" s="27"/>
      <c r="F115" s="88" t="s">
        <v>127</v>
      </c>
      <c r="G115" s="45">
        <v>0.05</v>
      </c>
      <c r="H115" s="28">
        <f>((H108+H109+H123)/0.9135)*G115</f>
        <v>143.02920590426081</v>
      </c>
    </row>
    <row r="116" spans="1:9" ht="15.75" x14ac:dyDescent="0.25">
      <c r="A116" s="73"/>
      <c r="B116" s="55" t="s">
        <v>45</v>
      </c>
      <c r="C116" s="55"/>
      <c r="D116" s="41"/>
      <c r="E116" s="41"/>
      <c r="F116" s="74"/>
      <c r="G116" s="57">
        <f>G110+G109+G108</f>
        <v>0.10649999999999998</v>
      </c>
      <c r="H116" s="58">
        <f>H108+H109+H110</f>
        <v>298.9297784412156</v>
      </c>
    </row>
    <row r="117" spans="1:9" ht="15.75" x14ac:dyDescent="0.25">
      <c r="A117" s="89"/>
      <c r="B117" s="267" t="s">
        <v>128</v>
      </c>
      <c r="C117" s="267"/>
      <c r="D117" s="267"/>
      <c r="E117" s="267"/>
      <c r="F117" s="267"/>
      <c r="G117" s="267"/>
      <c r="H117" s="267"/>
    </row>
    <row r="118" spans="1:9" ht="15.75" x14ac:dyDescent="0.25">
      <c r="A118" s="90" t="s">
        <v>4</v>
      </c>
      <c r="B118" s="27" t="s">
        <v>30</v>
      </c>
      <c r="C118" s="27"/>
      <c r="D118" s="27"/>
      <c r="E118" s="27"/>
      <c r="F118" s="28"/>
      <c r="G118" s="45">
        <f>SUM(H118/H$125)</f>
        <v>0.48564906419529208</v>
      </c>
      <c r="H118" s="28">
        <f>SUM(H37)</f>
        <v>1389.24</v>
      </c>
    </row>
    <row r="119" spans="1:9" ht="15.75" x14ac:dyDescent="0.25">
      <c r="A119" s="90" t="s">
        <v>7</v>
      </c>
      <c r="B119" s="27" t="s">
        <v>129</v>
      </c>
      <c r="C119" s="27"/>
      <c r="D119" s="27"/>
      <c r="E119" s="27"/>
      <c r="F119" s="28"/>
      <c r="G119" s="45">
        <f>SUM(H119/H$125)</f>
        <v>0.35064113061195423</v>
      </c>
      <c r="H119" s="28">
        <f>H71</f>
        <v>1003.038449376</v>
      </c>
    </row>
    <row r="120" spans="1:9" ht="15.75" x14ac:dyDescent="0.25">
      <c r="A120" s="90" t="s">
        <v>9</v>
      </c>
      <c r="B120" s="27" t="s">
        <v>130</v>
      </c>
      <c r="C120" s="27"/>
      <c r="D120" s="27"/>
      <c r="E120" s="27"/>
      <c r="F120" s="28"/>
      <c r="G120" s="45">
        <f>SUM(H120/H$125)</f>
        <v>1.5238088812846258E-2</v>
      </c>
      <c r="H120" s="28">
        <f>H79</f>
        <v>43.589834848000002</v>
      </c>
    </row>
    <row r="121" spans="1:9" ht="15.75" x14ac:dyDescent="0.25">
      <c r="A121" s="90" t="s">
        <v>17</v>
      </c>
      <c r="B121" s="27" t="s">
        <v>131</v>
      </c>
      <c r="C121" s="27"/>
      <c r="D121" s="27"/>
      <c r="E121" s="27"/>
      <c r="F121" s="28"/>
      <c r="G121" s="45">
        <f>SUM(H121/H$125)</f>
        <v>1.8173230806719929E-2</v>
      </c>
      <c r="H121" s="28">
        <f>H99</f>
        <v>51.986055420000007</v>
      </c>
    </row>
    <row r="122" spans="1:9" ht="15.75" x14ac:dyDescent="0.25">
      <c r="A122" s="90" t="s">
        <v>40</v>
      </c>
      <c r="B122" s="27" t="s">
        <v>110</v>
      </c>
      <c r="C122" s="27"/>
      <c r="D122" s="27"/>
      <c r="E122" s="27"/>
      <c r="F122" s="28"/>
      <c r="G122" s="45">
        <f>H122/H125</f>
        <v>2.579892670640966E-2</v>
      </c>
      <c r="H122" s="28">
        <f>H106</f>
        <v>73.8</v>
      </c>
      <c r="I122" s="115">
        <f>H108+H109+H123</f>
        <v>2613.1435918708444</v>
      </c>
    </row>
    <row r="123" spans="1:9" ht="15.75" x14ac:dyDescent="0.25">
      <c r="A123" s="90"/>
      <c r="B123" s="27" t="s">
        <v>132</v>
      </c>
      <c r="C123" s="27"/>
      <c r="D123" s="27"/>
      <c r="E123" s="27"/>
      <c r="F123" s="28"/>
      <c r="G123" s="45">
        <f>SUM(G118:G122)</f>
        <v>0.89550044113322225</v>
      </c>
      <c r="H123" s="28">
        <f>SUM(H118:H122)</f>
        <v>2561.6543396440002</v>
      </c>
      <c r="I123" s="115">
        <f>I122/0.9135</f>
        <v>2860.5841180852158</v>
      </c>
    </row>
    <row r="124" spans="1:9" ht="15.75" x14ac:dyDescent="0.25">
      <c r="A124" s="90" t="s">
        <v>40</v>
      </c>
      <c r="B124" s="27" t="s">
        <v>133</v>
      </c>
      <c r="C124" s="27"/>
      <c r="D124" s="27"/>
      <c r="E124" s="27"/>
      <c r="F124" s="28"/>
      <c r="G124" s="45">
        <f>SUM(H124/H$125)</f>
        <v>0.10449955886677778</v>
      </c>
      <c r="H124" s="28">
        <f>H116</f>
        <v>298.9297784412156</v>
      </c>
    </row>
    <row r="125" spans="1:9" ht="15.75" x14ac:dyDescent="0.25">
      <c r="A125" s="55"/>
      <c r="B125" s="55" t="s">
        <v>134</v>
      </c>
      <c r="C125" s="55"/>
      <c r="D125" s="55"/>
      <c r="E125" s="55"/>
      <c r="F125" s="55"/>
      <c r="G125" s="55">
        <f>SUM(G123+G124)</f>
        <v>1</v>
      </c>
      <c r="H125" s="91">
        <f>H124+H123</f>
        <v>2860.5841180852158</v>
      </c>
      <c r="I125" s="121"/>
    </row>
    <row r="126" spans="1:9" ht="15.75" x14ac:dyDescent="0.25">
      <c r="A126" s="92"/>
      <c r="B126" s="267" t="s">
        <v>135</v>
      </c>
      <c r="C126" s="267"/>
      <c r="D126" s="267"/>
      <c r="E126" s="267"/>
      <c r="F126" s="267"/>
      <c r="G126" s="267"/>
      <c r="H126" s="267"/>
    </row>
    <row r="127" spans="1:9" ht="47.25" x14ac:dyDescent="0.25">
      <c r="A127" s="27"/>
      <c r="B127" s="16" t="s">
        <v>20</v>
      </c>
      <c r="C127" s="16"/>
      <c r="D127" s="93" t="s">
        <v>136</v>
      </c>
      <c r="E127" s="93" t="s">
        <v>137</v>
      </c>
      <c r="F127" s="94" t="s">
        <v>138</v>
      </c>
      <c r="G127" s="93" t="s">
        <v>139</v>
      </c>
      <c r="H127" s="95" t="s">
        <v>140</v>
      </c>
    </row>
    <row r="128" spans="1:9" ht="15.75" x14ac:dyDescent="0.25">
      <c r="A128" s="27"/>
      <c r="B128" s="3" t="s">
        <v>141</v>
      </c>
      <c r="C128" s="3"/>
      <c r="D128" s="3" t="s">
        <v>142</v>
      </c>
      <c r="E128" s="96" t="s">
        <v>143</v>
      </c>
      <c r="F128" s="97" t="s">
        <v>144</v>
      </c>
      <c r="G128" s="3" t="s">
        <v>145</v>
      </c>
      <c r="H128" s="98" t="s">
        <v>146</v>
      </c>
    </row>
    <row r="129" spans="1:8" ht="15.75" x14ac:dyDescent="0.25">
      <c r="A129" s="1"/>
      <c r="B129" s="14"/>
      <c r="C129" s="14"/>
      <c r="D129" s="99">
        <f>SUM(H125)</f>
        <v>2860.5841180852158</v>
      </c>
      <c r="E129" s="100">
        <v>5</v>
      </c>
      <c r="F129" s="99">
        <f>D129*E129</f>
        <v>14302.920590426078</v>
      </c>
      <c r="G129" s="101">
        <v>1</v>
      </c>
      <c r="H129" s="28">
        <f>E129*D129</f>
        <v>14302.920590426078</v>
      </c>
    </row>
    <row r="130" spans="1:8" ht="15.75" x14ac:dyDescent="0.25">
      <c r="A130" s="27"/>
      <c r="B130" s="102" t="s">
        <v>147</v>
      </c>
      <c r="C130" s="102"/>
      <c r="D130" s="103"/>
      <c r="E130" s="103"/>
      <c r="F130" s="103"/>
      <c r="G130" s="103"/>
      <c r="H130" s="104">
        <f>SUM(H129)</f>
        <v>14302.920590426078</v>
      </c>
    </row>
    <row r="131" spans="1:8" ht="15.75" x14ac:dyDescent="0.25">
      <c r="A131" s="27"/>
      <c r="B131" s="16"/>
      <c r="C131" s="16"/>
      <c r="D131" s="105"/>
      <c r="E131" s="16"/>
      <c r="F131" s="16"/>
      <c r="G131" s="16"/>
      <c r="H131" s="16"/>
    </row>
    <row r="132" spans="1:8" ht="15.75" x14ac:dyDescent="0.25">
      <c r="A132" s="83"/>
      <c r="B132" s="267" t="s">
        <v>148</v>
      </c>
      <c r="C132" s="267"/>
      <c r="D132" s="267"/>
      <c r="E132" s="267"/>
      <c r="F132" s="267"/>
      <c r="G132" s="267"/>
      <c r="H132" s="267"/>
    </row>
    <row r="133" spans="1:8" ht="15.75" x14ac:dyDescent="0.25">
      <c r="A133" s="106"/>
      <c r="B133" s="106" t="s">
        <v>149</v>
      </c>
      <c r="C133" s="106"/>
      <c r="D133" s="106"/>
      <c r="E133" s="16"/>
      <c r="F133" s="16"/>
      <c r="G133" s="16"/>
      <c r="H133" s="107" t="s">
        <v>150</v>
      </c>
    </row>
    <row r="134" spans="1:8" ht="15.75" x14ac:dyDescent="0.25">
      <c r="A134" s="108" t="s">
        <v>4</v>
      </c>
      <c r="B134" s="109" t="s">
        <v>151</v>
      </c>
      <c r="C134" s="109"/>
      <c r="D134" s="109"/>
      <c r="E134" s="13"/>
      <c r="F134" s="13"/>
      <c r="G134" s="13"/>
      <c r="H134" s="107">
        <f>D129</f>
        <v>2860.5841180852158</v>
      </c>
    </row>
    <row r="135" spans="1:8" ht="15.75" x14ac:dyDescent="0.25">
      <c r="A135" s="108" t="s">
        <v>7</v>
      </c>
      <c r="B135" s="109" t="s">
        <v>152</v>
      </c>
      <c r="C135" s="109"/>
      <c r="D135" s="109"/>
      <c r="E135" s="13"/>
      <c r="F135" s="13"/>
      <c r="G135" s="13"/>
      <c r="H135" s="107">
        <f>H130</f>
        <v>14302.920590426078</v>
      </c>
    </row>
    <row r="136" spans="1:8" ht="15.75" x14ac:dyDescent="0.25">
      <c r="A136" s="108" t="s">
        <v>17</v>
      </c>
      <c r="B136" s="7" t="s">
        <v>153</v>
      </c>
      <c r="C136" s="7"/>
      <c r="D136" s="109"/>
      <c r="E136" s="13"/>
      <c r="F136" s="13"/>
      <c r="G136" s="100">
        <v>12</v>
      </c>
      <c r="H136" s="107">
        <f>SUM(H135*G136)</f>
        <v>171635.04708511295</v>
      </c>
    </row>
    <row r="137" spans="1:8" ht="15.75" x14ac:dyDescent="0.25">
      <c r="A137" s="6"/>
      <c r="B137" s="6"/>
      <c r="C137" s="6"/>
      <c r="D137" s="6"/>
      <c r="E137" s="6"/>
      <c r="F137" s="6"/>
      <c r="G137" s="6"/>
      <c r="H137" s="6"/>
    </row>
    <row r="139" spans="1:8" x14ac:dyDescent="0.25">
      <c r="A139" s="149" t="s">
        <v>204</v>
      </c>
      <c r="B139" s="149"/>
    </row>
    <row r="140" spans="1:8" x14ac:dyDescent="0.25">
      <c r="A140" s="149" t="s">
        <v>205</v>
      </c>
      <c r="B140" s="149"/>
    </row>
    <row r="141" spans="1:8" x14ac:dyDescent="0.25">
      <c r="A141" s="149" t="s">
        <v>206</v>
      </c>
      <c r="B141" s="149"/>
    </row>
    <row r="142" spans="1:8" x14ac:dyDescent="0.25">
      <c r="A142" s="149"/>
      <c r="B142" s="149"/>
    </row>
    <row r="143" spans="1:8" x14ac:dyDescent="0.25">
      <c r="A143" s="149" t="s">
        <v>207</v>
      </c>
      <c r="B143" s="149"/>
    </row>
    <row r="145" spans="1:6" x14ac:dyDescent="0.25">
      <c r="A145" t="s">
        <v>208</v>
      </c>
    </row>
    <row r="146" spans="1:6" x14ac:dyDescent="0.25">
      <c r="A146" s="149" t="s">
        <v>209</v>
      </c>
    </row>
    <row r="147" spans="1:6" x14ac:dyDescent="0.25">
      <c r="A147" s="149" t="s">
        <v>210</v>
      </c>
    </row>
    <row r="148" spans="1:6" x14ac:dyDescent="0.25">
      <c r="A148" s="149"/>
    </row>
    <row r="149" spans="1:6" x14ac:dyDescent="0.25">
      <c r="A149" s="149" t="s">
        <v>211</v>
      </c>
    </row>
    <row r="150" spans="1:6" x14ac:dyDescent="0.25">
      <c r="A150" s="149"/>
    </row>
    <row r="151" spans="1:6" x14ac:dyDescent="0.25">
      <c r="A151" s="149" t="s">
        <v>212</v>
      </c>
    </row>
    <row r="152" spans="1:6" x14ac:dyDescent="0.25">
      <c r="A152" s="149" t="s">
        <v>213</v>
      </c>
    </row>
    <row r="153" spans="1:6" x14ac:dyDescent="0.25">
      <c r="A153" s="149"/>
    </row>
    <row r="154" spans="1:6" x14ac:dyDescent="0.25">
      <c r="A154" s="149" t="s">
        <v>207</v>
      </c>
    </row>
    <row r="155" spans="1:6" x14ac:dyDescent="0.25">
      <c r="A155" s="149" t="s">
        <v>223</v>
      </c>
    </row>
    <row r="156" spans="1:6" x14ac:dyDescent="0.25">
      <c r="B156" s="150" t="s">
        <v>214</v>
      </c>
      <c r="C156" s="151"/>
      <c r="D156" s="151"/>
      <c r="E156" s="151"/>
      <c r="F156" s="151"/>
    </row>
    <row r="157" spans="1:6" x14ac:dyDescent="0.25">
      <c r="B157" s="150"/>
      <c r="C157" s="151"/>
      <c r="D157" s="151"/>
      <c r="E157" s="151"/>
      <c r="F157" s="151"/>
    </row>
    <row r="158" spans="1:6" x14ac:dyDescent="0.25">
      <c r="B158" s="150" t="s">
        <v>215</v>
      </c>
      <c r="C158" s="151" t="s">
        <v>216</v>
      </c>
      <c r="D158" s="151" t="s">
        <v>217</v>
      </c>
      <c r="E158" s="151" t="s">
        <v>218</v>
      </c>
      <c r="F158" s="151" t="s">
        <v>219</v>
      </c>
    </row>
    <row r="159" spans="1:6" x14ac:dyDescent="0.25">
      <c r="B159" s="150" t="s">
        <v>220</v>
      </c>
      <c r="C159" s="152">
        <v>1.6500000000000001E-2</v>
      </c>
      <c r="D159" s="152">
        <v>7.5999999999999998E-2</v>
      </c>
      <c r="E159" s="153">
        <v>0.05</v>
      </c>
      <c r="F159" s="151">
        <v>0.85750000000000004</v>
      </c>
    </row>
    <row r="160" spans="1:6" x14ac:dyDescent="0.25">
      <c r="B160" s="150" t="s">
        <v>221</v>
      </c>
      <c r="C160" s="152">
        <v>6.4999999999999997E-3</v>
      </c>
      <c r="D160" s="153">
        <v>0.03</v>
      </c>
      <c r="E160" s="153">
        <v>0.05</v>
      </c>
      <c r="F160" s="151">
        <v>0.91349999999999998</v>
      </c>
    </row>
    <row r="161" spans="1:6" x14ac:dyDescent="0.25">
      <c r="B161" s="150" t="s">
        <v>222</v>
      </c>
      <c r="C161" s="152">
        <v>4.4000000000000003E-3</v>
      </c>
      <c r="D161" s="152">
        <v>2.35E-2</v>
      </c>
      <c r="E161" s="153">
        <v>0.05</v>
      </c>
      <c r="F161" s="151">
        <v>0.92210000000000003</v>
      </c>
    </row>
    <row r="163" spans="1:6" x14ac:dyDescent="0.25">
      <c r="A163" s="155" t="s">
        <v>225</v>
      </c>
    </row>
  </sheetData>
  <dataConsolidate/>
  <mergeCells count="51">
    <mergeCell ref="B117:H117"/>
    <mergeCell ref="B126:H126"/>
    <mergeCell ref="B132:H132"/>
    <mergeCell ref="C83:C88"/>
    <mergeCell ref="E83:E88"/>
    <mergeCell ref="B92:H92"/>
    <mergeCell ref="A96:H96"/>
    <mergeCell ref="B100:H100"/>
    <mergeCell ref="B107:H107"/>
    <mergeCell ref="B81:H81"/>
    <mergeCell ref="A59:A61"/>
    <mergeCell ref="D59:D60"/>
    <mergeCell ref="E59:E60"/>
    <mergeCell ref="F59:F60"/>
    <mergeCell ref="G59:G60"/>
    <mergeCell ref="B61:E61"/>
    <mergeCell ref="B62:E62"/>
    <mergeCell ref="B66:E66"/>
    <mergeCell ref="A67:H67"/>
    <mergeCell ref="B72:H72"/>
    <mergeCell ref="B80:H80"/>
    <mergeCell ref="B54:H54"/>
    <mergeCell ref="A56:A58"/>
    <mergeCell ref="D56:D57"/>
    <mergeCell ref="E56:E57"/>
    <mergeCell ref="F56:F57"/>
    <mergeCell ref="G56:G57"/>
    <mergeCell ref="D46:E47"/>
    <mergeCell ref="E18:H18"/>
    <mergeCell ref="B19:H19"/>
    <mergeCell ref="A20:H20"/>
    <mergeCell ref="D21:H21"/>
    <mergeCell ref="D22:H22"/>
    <mergeCell ref="D24:H24"/>
    <mergeCell ref="D25:H25"/>
    <mergeCell ref="B26:H26"/>
    <mergeCell ref="B38:H38"/>
    <mergeCell ref="B39:H39"/>
    <mergeCell ref="B44:H44"/>
    <mergeCell ref="E17:H17"/>
    <mergeCell ref="A3:H3"/>
    <mergeCell ref="E4:H6"/>
    <mergeCell ref="A7:D7"/>
    <mergeCell ref="A8:H8"/>
    <mergeCell ref="D9:H9"/>
    <mergeCell ref="D10:H10"/>
    <mergeCell ref="D11:H11"/>
    <mergeCell ref="D12:H12"/>
    <mergeCell ref="A14:H14"/>
    <mergeCell ref="E15:H15"/>
    <mergeCell ref="E16:H16"/>
  </mergeCells>
  <dataValidations count="4">
    <dataValidation type="list" operator="equal" allowBlank="1" showErrorMessage="1" promptTitle="Percentual" sqref="E30">
      <formula1>$K$28:$K$31</formula1>
      <formula2>0</formula2>
    </dataValidation>
    <dataValidation type="list" operator="equal" allowBlank="1" showErrorMessage="1" sqref="D30">
      <formula1>$J$28:$J$31</formula1>
      <formula2>0</formula2>
    </dataValidation>
    <dataValidation type="list" operator="equal" allowBlank="1" showErrorMessage="1" sqref="E28">
      <formula1>$K$33:$K$34</formula1>
      <formula2>0</formula2>
    </dataValidation>
    <dataValidation type="list" operator="equal" allowBlank="1" showErrorMessage="1" sqref="D28">
      <formula1>$J$33:$J$34</formula1>
      <formula2>0</formula2>
    </dataValidation>
  </dataValidations>
  <pageMargins left="0.7" right="0.7" top="0.75" bottom="0.75" header="0.3" footer="0.3"/>
  <pageSetup scale="45" orientation="portrait" r:id="rId1"/>
  <drawing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65"/>
  <sheetViews>
    <sheetView topLeftCell="A119" zoomScale="70" zoomScaleNormal="70" workbookViewId="0">
      <selection activeCell="G83" sqref="G83"/>
    </sheetView>
  </sheetViews>
  <sheetFormatPr defaultRowHeight="15" x14ac:dyDescent="0.25"/>
  <cols>
    <col min="1" max="1" width="4.85546875" bestFit="1" customWidth="1"/>
    <col min="2" max="2" width="54.85546875" customWidth="1"/>
    <col min="3" max="3" width="11.5703125" customWidth="1"/>
    <col min="4" max="4" width="34" customWidth="1"/>
    <col min="5" max="5" width="18" customWidth="1"/>
    <col min="6" max="6" width="25.28515625" bestFit="1" customWidth="1"/>
    <col min="7" max="7" width="11.5703125" bestFit="1" customWidth="1"/>
    <col min="8" max="8" width="27.5703125" bestFit="1" customWidth="1"/>
    <col min="9" max="9" width="20.7109375" customWidth="1"/>
    <col min="10" max="10" width="11" bestFit="1" customWidth="1"/>
  </cols>
  <sheetData>
    <row r="1" spans="1:8" x14ac:dyDescent="0.25">
      <c r="A1" s="1"/>
      <c r="B1" s="1"/>
      <c r="C1" s="1"/>
      <c r="D1" s="1"/>
      <c r="E1" s="1"/>
      <c r="F1" s="1"/>
      <c r="G1" s="1"/>
      <c r="H1" s="2"/>
    </row>
    <row r="2" spans="1:8" ht="15.75" x14ac:dyDescent="0.25">
      <c r="A2" s="3"/>
      <c r="B2" s="3" t="s">
        <v>0</v>
      </c>
      <c r="C2" s="3"/>
      <c r="D2" s="4" t="s">
        <v>1</v>
      </c>
      <c r="E2" s="3"/>
      <c r="F2" s="3" t="s">
        <v>2</v>
      </c>
      <c r="G2" s="3"/>
      <c r="H2" s="5" t="s">
        <v>156</v>
      </c>
    </row>
    <row r="3" spans="1:8" ht="15.75" x14ac:dyDescent="0.25">
      <c r="A3" s="269" t="s">
        <v>3</v>
      </c>
      <c r="B3" s="269"/>
      <c r="C3" s="269"/>
      <c r="D3" s="269"/>
      <c r="E3" s="269"/>
      <c r="F3" s="269"/>
      <c r="G3" s="269"/>
      <c r="H3" s="269"/>
    </row>
    <row r="4" spans="1:8" ht="15.75" x14ac:dyDescent="0.25">
      <c r="A4" s="6" t="s">
        <v>4</v>
      </c>
      <c r="B4" s="7" t="s">
        <v>5</v>
      </c>
      <c r="C4" s="7"/>
      <c r="D4" s="8"/>
      <c r="E4" s="287" t="s">
        <v>6</v>
      </c>
      <c r="F4" s="287"/>
      <c r="G4" s="287"/>
      <c r="H4" s="287"/>
    </row>
    <row r="5" spans="1:8" ht="15.75" x14ac:dyDescent="0.25">
      <c r="A5" s="6" t="s">
        <v>7</v>
      </c>
      <c r="B5" s="7" t="s">
        <v>8</v>
      </c>
      <c r="C5" s="7"/>
      <c r="D5" s="9"/>
      <c r="E5" s="287"/>
      <c r="F5" s="287"/>
      <c r="G5" s="287"/>
      <c r="H5" s="287"/>
    </row>
    <row r="6" spans="1:8" ht="15.75" x14ac:dyDescent="0.25">
      <c r="A6" s="6" t="s">
        <v>9</v>
      </c>
      <c r="B6" s="7" t="s">
        <v>10</v>
      </c>
      <c r="C6" s="7"/>
      <c r="D6" s="10" t="s">
        <v>11</v>
      </c>
      <c r="E6" s="287"/>
      <c r="F6" s="287"/>
      <c r="G6" s="287"/>
      <c r="H6" s="287"/>
    </row>
    <row r="7" spans="1:8" ht="15.75" x14ac:dyDescent="0.25">
      <c r="A7" s="288"/>
      <c r="B7" s="288"/>
      <c r="C7" s="288"/>
      <c r="D7" s="288"/>
      <c r="E7" s="11"/>
      <c r="F7" s="11"/>
      <c r="G7" s="11"/>
      <c r="H7" s="11"/>
    </row>
    <row r="8" spans="1:8" ht="15.75" x14ac:dyDescent="0.25">
      <c r="A8" s="269" t="s">
        <v>12</v>
      </c>
      <c r="B8" s="269"/>
      <c r="C8" s="269"/>
      <c r="D8" s="269"/>
      <c r="E8" s="269"/>
      <c r="F8" s="269"/>
      <c r="G8" s="269"/>
      <c r="H8" s="269"/>
    </row>
    <row r="9" spans="1:8" x14ac:dyDescent="0.25">
      <c r="A9" s="12" t="s">
        <v>4</v>
      </c>
      <c r="B9" s="13" t="s">
        <v>13</v>
      </c>
      <c r="C9" s="13"/>
      <c r="D9" s="281" t="s">
        <v>14</v>
      </c>
      <c r="E9" s="281"/>
      <c r="F9" s="281"/>
      <c r="G9" s="281"/>
      <c r="H9" s="281"/>
    </row>
    <row r="10" spans="1:8" x14ac:dyDescent="0.25">
      <c r="A10" s="12" t="s">
        <v>7</v>
      </c>
      <c r="B10" s="13" t="s">
        <v>15</v>
      </c>
      <c r="C10" s="13"/>
      <c r="D10" s="289" t="s">
        <v>184</v>
      </c>
      <c r="E10" s="289"/>
      <c r="F10" s="289"/>
      <c r="G10" s="289"/>
      <c r="H10" s="289"/>
    </row>
    <row r="11" spans="1:8" x14ac:dyDescent="0.25">
      <c r="A11" s="12" t="s">
        <v>9</v>
      </c>
      <c r="B11" s="13" t="s">
        <v>16</v>
      </c>
      <c r="C11" s="13"/>
      <c r="D11" s="289" t="s">
        <v>174</v>
      </c>
      <c r="E11" s="289"/>
      <c r="F11" s="289"/>
      <c r="G11" s="289"/>
      <c r="H11" s="289"/>
    </row>
    <row r="12" spans="1:8" x14ac:dyDescent="0.25">
      <c r="A12" s="12" t="s">
        <v>17</v>
      </c>
      <c r="B12" s="13" t="s">
        <v>18</v>
      </c>
      <c r="C12" s="13"/>
      <c r="D12" s="289">
        <v>12</v>
      </c>
      <c r="E12" s="289"/>
      <c r="F12" s="289"/>
      <c r="G12" s="289"/>
      <c r="H12" s="289"/>
    </row>
    <row r="13" spans="1:8" x14ac:dyDescent="0.25">
      <c r="A13" s="12"/>
      <c r="B13" s="13"/>
      <c r="C13" s="13"/>
      <c r="D13" s="14"/>
      <c r="E13" s="14"/>
      <c r="F13" s="14"/>
      <c r="G13" s="14"/>
      <c r="H13" s="15"/>
    </row>
    <row r="14" spans="1:8" ht="15.75" x14ac:dyDescent="0.25">
      <c r="A14" s="269" t="s">
        <v>19</v>
      </c>
      <c r="B14" s="269"/>
      <c r="C14" s="269"/>
      <c r="D14" s="269"/>
      <c r="E14" s="269"/>
      <c r="F14" s="269"/>
      <c r="G14" s="269"/>
      <c r="H14" s="269"/>
    </row>
    <row r="15" spans="1:8" ht="15.75" x14ac:dyDescent="0.25">
      <c r="A15" s="12"/>
      <c r="B15" s="16" t="s">
        <v>20</v>
      </c>
      <c r="C15" s="16"/>
      <c r="D15" s="17" t="s">
        <v>21</v>
      </c>
      <c r="E15" s="290" t="s">
        <v>22</v>
      </c>
      <c r="F15" s="290"/>
      <c r="G15" s="290"/>
      <c r="H15" s="290"/>
    </row>
    <row r="16" spans="1:8" x14ac:dyDescent="0.25">
      <c r="A16" s="12" t="s">
        <v>4</v>
      </c>
      <c r="B16" s="18" t="s">
        <v>180</v>
      </c>
      <c r="C16" s="19"/>
      <c r="D16" s="20" t="s">
        <v>23</v>
      </c>
      <c r="E16" s="291">
        <v>1</v>
      </c>
      <c r="F16" s="291"/>
      <c r="G16" s="291"/>
      <c r="H16" s="291"/>
    </row>
    <row r="17" spans="1:9" x14ac:dyDescent="0.25">
      <c r="A17" s="12" t="s">
        <v>7</v>
      </c>
      <c r="B17" s="13"/>
      <c r="C17" s="13"/>
      <c r="D17" s="21"/>
      <c r="E17" s="279"/>
      <c r="F17" s="279"/>
      <c r="G17" s="279"/>
      <c r="H17" s="279"/>
    </row>
    <row r="18" spans="1:9" x14ac:dyDescent="0.25">
      <c r="A18" s="12" t="s">
        <v>9</v>
      </c>
      <c r="B18" s="13"/>
      <c r="C18" s="13"/>
      <c r="D18" s="21"/>
      <c r="E18" s="279"/>
      <c r="F18" s="279"/>
      <c r="G18" s="279"/>
      <c r="H18" s="279"/>
    </row>
    <row r="19" spans="1:9" ht="15.75" x14ac:dyDescent="0.25">
      <c r="A19" s="110"/>
      <c r="B19" s="269" t="s">
        <v>24</v>
      </c>
      <c r="C19" s="269"/>
      <c r="D19" s="269"/>
      <c r="E19" s="269"/>
      <c r="F19" s="269"/>
      <c r="G19" s="269"/>
      <c r="H19" s="269"/>
    </row>
    <row r="20" spans="1:9" ht="15.75" x14ac:dyDescent="0.25">
      <c r="A20" s="280" t="s">
        <v>25</v>
      </c>
      <c r="B20" s="280"/>
      <c r="C20" s="280"/>
      <c r="D20" s="280"/>
      <c r="E20" s="280"/>
      <c r="F20" s="280"/>
      <c r="G20" s="280"/>
      <c r="H20" s="280"/>
    </row>
    <row r="21" spans="1:9" x14ac:dyDescent="0.25">
      <c r="A21" s="12">
        <v>1</v>
      </c>
      <c r="B21" s="13" t="s">
        <v>20</v>
      </c>
      <c r="C21" s="13"/>
      <c r="D21" s="281" t="s">
        <v>181</v>
      </c>
      <c r="E21" s="281"/>
      <c r="F21" s="281"/>
      <c r="G21" s="281"/>
      <c r="H21" s="281"/>
    </row>
    <row r="22" spans="1:9" x14ac:dyDescent="0.25">
      <c r="A22" s="12">
        <v>2</v>
      </c>
      <c r="B22" s="13" t="s">
        <v>26</v>
      </c>
      <c r="C22" s="13"/>
      <c r="D22" s="282" t="s">
        <v>176</v>
      </c>
      <c r="E22" s="282"/>
      <c r="F22" s="282"/>
      <c r="G22" s="282"/>
      <c r="H22" s="282"/>
    </row>
    <row r="23" spans="1:9" x14ac:dyDescent="0.25">
      <c r="A23" s="12">
        <v>3</v>
      </c>
      <c r="B23" s="13" t="s">
        <v>27</v>
      </c>
      <c r="C23" s="13"/>
      <c r="D23" s="22">
        <v>1134.1099999999999</v>
      </c>
      <c r="E23" s="23"/>
      <c r="F23" s="23"/>
      <c r="G23" s="23"/>
      <c r="H23" s="23"/>
    </row>
    <row r="24" spans="1:9" ht="30" x14ac:dyDescent="0.25">
      <c r="A24" s="1">
        <v>4</v>
      </c>
      <c r="B24" s="24" t="s">
        <v>28</v>
      </c>
      <c r="C24" s="24"/>
      <c r="D24" s="283" t="s">
        <v>170</v>
      </c>
      <c r="E24" s="283"/>
      <c r="F24" s="283"/>
      <c r="G24" s="283"/>
      <c r="H24" s="283"/>
    </row>
    <row r="25" spans="1:9" x14ac:dyDescent="0.25">
      <c r="A25" s="1">
        <v>5</v>
      </c>
      <c r="B25" s="25" t="s">
        <v>29</v>
      </c>
      <c r="C25" s="25"/>
      <c r="D25" s="284" t="s">
        <v>171</v>
      </c>
      <c r="E25" s="284"/>
      <c r="F25" s="284"/>
      <c r="G25" s="284"/>
      <c r="H25" s="284"/>
    </row>
    <row r="26" spans="1:9" ht="15.75" x14ac:dyDescent="0.25">
      <c r="A26" s="26">
        <v>1</v>
      </c>
      <c r="B26" s="267" t="s">
        <v>30</v>
      </c>
      <c r="C26" s="267"/>
      <c r="D26" s="267"/>
      <c r="E26" s="267"/>
      <c r="F26" s="267"/>
      <c r="G26" s="267"/>
      <c r="H26" s="267"/>
    </row>
    <row r="27" spans="1:9" ht="15.75" x14ac:dyDescent="0.25">
      <c r="A27" s="1" t="s">
        <v>4</v>
      </c>
      <c r="B27" s="27" t="s">
        <v>31</v>
      </c>
      <c r="C27" s="27"/>
      <c r="D27" s="27"/>
      <c r="G27" s="28"/>
      <c r="H27" s="29">
        <v>1134.1099999999999</v>
      </c>
    </row>
    <row r="28" spans="1:9" ht="15.75" x14ac:dyDescent="0.25">
      <c r="A28" s="1" t="s">
        <v>7</v>
      </c>
      <c r="B28" s="6" t="s">
        <v>32</v>
      </c>
      <c r="C28" s="6"/>
      <c r="D28" s="30"/>
      <c r="E28" s="31">
        <v>0</v>
      </c>
      <c r="H28" s="32"/>
    </row>
    <row r="29" spans="1:9" ht="15.75" x14ac:dyDescent="0.25">
      <c r="A29" s="1" t="s">
        <v>9</v>
      </c>
      <c r="B29" s="6" t="s">
        <v>34</v>
      </c>
      <c r="C29" s="6"/>
      <c r="D29" s="33" t="s">
        <v>35</v>
      </c>
      <c r="E29" s="34" t="s">
        <v>36</v>
      </c>
      <c r="F29" s="33" t="s">
        <v>37</v>
      </c>
      <c r="G29" s="35"/>
      <c r="H29" s="32"/>
    </row>
    <row r="30" spans="1:9" ht="15.75" x14ac:dyDescent="0.25">
      <c r="A30" s="1" t="s">
        <v>17</v>
      </c>
      <c r="B30" s="6" t="s">
        <v>167</v>
      </c>
      <c r="C30" s="6"/>
      <c r="D30" s="33"/>
      <c r="E30" s="34"/>
      <c r="F30" s="33"/>
      <c r="G30" s="35"/>
      <c r="H30" s="32"/>
      <c r="I30">
        <v>40</v>
      </c>
    </row>
    <row r="31" spans="1:9" ht="15.75" x14ac:dyDescent="0.25">
      <c r="A31" s="1" t="s">
        <v>40</v>
      </c>
      <c r="B31" s="6" t="s">
        <v>38</v>
      </c>
      <c r="C31" s="6"/>
      <c r="D31" s="30" t="s">
        <v>39</v>
      </c>
      <c r="E31" s="36">
        <v>0</v>
      </c>
      <c r="F31" s="37">
        <v>954</v>
      </c>
      <c r="G31" s="27"/>
      <c r="H31" s="38"/>
      <c r="I31">
        <v>120</v>
      </c>
    </row>
    <row r="32" spans="1:9" ht="15.75" x14ac:dyDescent="0.25">
      <c r="A32" s="1" t="s">
        <v>42</v>
      </c>
      <c r="B32" s="6" t="s">
        <v>41</v>
      </c>
      <c r="C32" s="6"/>
      <c r="G32" s="35"/>
      <c r="H32" s="38"/>
    </row>
    <row r="33" spans="1:9" ht="15.75" x14ac:dyDescent="0.25">
      <c r="A33" s="1" t="s">
        <v>61</v>
      </c>
      <c r="B33" s="6" t="s">
        <v>159</v>
      </c>
      <c r="C33" s="6"/>
      <c r="G33" s="35"/>
      <c r="H33" s="38"/>
    </row>
    <row r="34" spans="1:9" ht="15.75" x14ac:dyDescent="0.25">
      <c r="A34" s="1" t="s">
        <v>43</v>
      </c>
      <c r="B34" s="6" t="s">
        <v>155</v>
      </c>
      <c r="C34" s="6"/>
      <c r="G34" s="35"/>
      <c r="H34" s="38"/>
    </row>
    <row r="35" spans="1:9" ht="15.75" x14ac:dyDescent="0.25">
      <c r="A35" s="1" t="s">
        <v>161</v>
      </c>
      <c r="B35" s="8" t="s">
        <v>160</v>
      </c>
      <c r="C35" s="8"/>
      <c r="G35" s="35"/>
      <c r="H35" s="38"/>
    </row>
    <row r="36" spans="1:9" ht="15.75" x14ac:dyDescent="0.25">
      <c r="A36" s="1" t="s">
        <v>165</v>
      </c>
      <c r="B36" s="8" t="s">
        <v>162</v>
      </c>
      <c r="C36" s="8"/>
      <c r="G36" s="35"/>
      <c r="H36" s="38"/>
    </row>
    <row r="37" spans="1:9" ht="15.75" x14ac:dyDescent="0.25">
      <c r="A37" s="1" t="s">
        <v>166</v>
      </c>
      <c r="B37" s="6" t="s">
        <v>44</v>
      </c>
      <c r="C37" s="6"/>
      <c r="D37" s="27"/>
      <c r="E37" s="27"/>
      <c r="F37" s="35"/>
      <c r="G37" s="35"/>
      <c r="H37" s="35">
        <v>0</v>
      </c>
    </row>
    <row r="38" spans="1:9" ht="15.75" x14ac:dyDescent="0.25">
      <c r="A38" s="39"/>
      <c r="B38" s="40" t="s">
        <v>45</v>
      </c>
      <c r="C38" s="40"/>
      <c r="D38" s="41"/>
      <c r="E38" s="41"/>
      <c r="F38" s="42"/>
      <c r="G38" s="42"/>
      <c r="H38" s="43">
        <f>SUM(H27:H37)</f>
        <v>1134.1099999999999</v>
      </c>
    </row>
    <row r="39" spans="1:9" ht="15.75" x14ac:dyDescent="0.25">
      <c r="A39" s="44">
        <v>2</v>
      </c>
      <c r="B39" s="285" t="s">
        <v>46</v>
      </c>
      <c r="C39" s="285"/>
      <c r="D39" s="285"/>
      <c r="E39" s="285"/>
      <c r="F39" s="285"/>
      <c r="G39" s="285"/>
      <c r="H39" s="285"/>
    </row>
    <row r="40" spans="1:9" ht="15.75" x14ac:dyDescent="0.25">
      <c r="A40" s="124" t="s">
        <v>47</v>
      </c>
      <c r="B40" s="286" t="s">
        <v>48</v>
      </c>
      <c r="C40" s="286"/>
      <c r="D40" s="286"/>
      <c r="E40" s="286"/>
      <c r="F40" s="286"/>
      <c r="G40" s="286"/>
      <c r="H40" s="286"/>
    </row>
    <row r="41" spans="1:9" ht="15.75" x14ac:dyDescent="0.25">
      <c r="A41" s="1" t="s">
        <v>4</v>
      </c>
      <c r="B41" s="8" t="s">
        <v>49</v>
      </c>
      <c r="C41" s="8"/>
      <c r="D41" s="8"/>
      <c r="E41" s="27"/>
      <c r="F41" s="28"/>
      <c r="G41" s="45">
        <v>8.3299999999999999E-2</v>
      </c>
      <c r="H41" s="28">
        <f>SUM($H$38*G41)</f>
        <v>94.471362999999997</v>
      </c>
    </row>
    <row r="42" spans="1:9" ht="15.75" x14ac:dyDescent="0.25">
      <c r="A42" s="1" t="s">
        <v>7</v>
      </c>
      <c r="B42" s="27" t="s">
        <v>50</v>
      </c>
      <c r="C42" s="27"/>
      <c r="D42" s="27"/>
      <c r="E42" s="27"/>
      <c r="F42" s="46"/>
      <c r="G42" s="47">
        <v>0.121</v>
      </c>
      <c r="H42" s="28">
        <f>SUM($H$38*G42)</f>
        <v>137.22730999999999</v>
      </c>
    </row>
    <row r="43" spans="1:9" ht="15.75" x14ac:dyDescent="0.25">
      <c r="A43" s="1" t="s">
        <v>9</v>
      </c>
      <c r="B43" s="48" t="s">
        <v>51</v>
      </c>
      <c r="C43" s="48"/>
      <c r="D43" s="27"/>
      <c r="E43" s="27"/>
      <c r="F43" s="46"/>
      <c r="G43" s="47">
        <f>G42+G41*G54</f>
        <v>0.15165439999999999</v>
      </c>
      <c r="H43" s="28">
        <f>SUM(H41:H42)*G54</f>
        <v>85.265111664000017</v>
      </c>
    </row>
    <row r="44" spans="1:9" ht="15.75" x14ac:dyDescent="0.25">
      <c r="A44" s="49"/>
      <c r="B44" s="50" t="s">
        <v>45</v>
      </c>
      <c r="C44" s="40"/>
      <c r="D44" s="41"/>
      <c r="E44" s="41"/>
      <c r="F44" s="42"/>
      <c r="G44" s="42"/>
      <c r="H44" s="43">
        <f>SUM(H41:H43)</f>
        <v>316.963784664</v>
      </c>
    </row>
    <row r="45" spans="1:9" ht="15.75" x14ac:dyDescent="0.25">
      <c r="A45" s="110" t="s">
        <v>52</v>
      </c>
      <c r="B45" s="269" t="s">
        <v>53</v>
      </c>
      <c r="C45" s="269"/>
      <c r="D45" s="269"/>
      <c r="E45" s="269"/>
      <c r="F45" s="269"/>
      <c r="G45" s="269"/>
      <c r="H45" s="269"/>
    </row>
    <row r="46" spans="1:9" ht="15.75" x14ac:dyDescent="0.25">
      <c r="A46" s="1" t="s">
        <v>4</v>
      </c>
      <c r="B46" s="51" t="s">
        <v>54</v>
      </c>
      <c r="C46" s="51"/>
      <c r="D46" s="27"/>
      <c r="E46" s="27"/>
      <c r="F46" s="28"/>
      <c r="G46" s="45">
        <v>0.2</v>
      </c>
      <c r="H46" s="28">
        <f>SUM($H$38*G46)</f>
        <v>226.822</v>
      </c>
    </row>
    <row r="47" spans="1:9" ht="15.75" x14ac:dyDescent="0.25">
      <c r="A47" s="1" t="s">
        <v>7</v>
      </c>
      <c r="B47" s="51" t="s">
        <v>55</v>
      </c>
      <c r="C47" s="51"/>
      <c r="D47" s="278" t="s">
        <v>56</v>
      </c>
      <c r="E47" s="278"/>
      <c r="F47" s="28"/>
      <c r="G47" s="52">
        <v>1.4999999999999999E-2</v>
      </c>
      <c r="H47" s="28">
        <f>SUM($H$38*G47)</f>
        <v>17.011649999999999</v>
      </c>
      <c r="I47" s="115"/>
    </row>
    <row r="48" spans="1:9" ht="15.75" x14ac:dyDescent="0.25">
      <c r="A48" s="1" t="s">
        <v>9</v>
      </c>
      <c r="B48" s="51" t="s">
        <v>57</v>
      </c>
      <c r="C48" s="51"/>
      <c r="D48" s="278"/>
      <c r="E48" s="278"/>
      <c r="F48" s="28"/>
      <c r="G48" s="52">
        <v>0.01</v>
      </c>
      <c r="H48" s="28">
        <f t="shared" ref="H48" si="0">SUM($H$38*G48)</f>
        <v>11.341099999999999</v>
      </c>
    </row>
    <row r="49" spans="1:13" ht="15.75" x14ac:dyDescent="0.25">
      <c r="A49" s="1" t="s">
        <v>17</v>
      </c>
      <c r="B49" s="51" t="s">
        <v>58</v>
      </c>
      <c r="C49" s="51"/>
      <c r="D49" s="27"/>
      <c r="E49" s="27"/>
      <c r="F49" s="28"/>
      <c r="G49" s="52">
        <v>2E-3</v>
      </c>
      <c r="H49" s="28">
        <f>SUM($H$38*G49)</f>
        <v>2.2682199999999999</v>
      </c>
    </row>
    <row r="50" spans="1:13" ht="15.75" x14ac:dyDescent="0.25">
      <c r="A50" s="1" t="s">
        <v>40</v>
      </c>
      <c r="B50" s="51" t="s">
        <v>59</v>
      </c>
      <c r="C50" s="51"/>
      <c r="D50" s="27"/>
      <c r="E50" s="27"/>
      <c r="F50" s="28"/>
      <c r="G50" s="52">
        <v>2.5000000000000001E-2</v>
      </c>
      <c r="H50" s="28">
        <f>SUM($H$38*G50)</f>
        <v>28.35275</v>
      </c>
    </row>
    <row r="51" spans="1:13" ht="15.75" x14ac:dyDescent="0.25">
      <c r="A51" s="1" t="s">
        <v>42</v>
      </c>
      <c r="B51" s="51" t="s">
        <v>60</v>
      </c>
      <c r="C51" s="51"/>
      <c r="D51" s="27"/>
      <c r="E51" s="27"/>
      <c r="F51" s="28"/>
      <c r="G51" s="45">
        <v>0.08</v>
      </c>
      <c r="H51" s="28">
        <f>SUM($H$38*G51)</f>
        <v>90.728799999999993</v>
      </c>
    </row>
    <row r="52" spans="1:13" ht="15.75" x14ac:dyDescent="0.25">
      <c r="A52" s="127" t="s">
        <v>61</v>
      </c>
      <c r="B52" s="128" t="s">
        <v>62</v>
      </c>
      <c r="C52" s="128"/>
      <c r="D52" s="129"/>
      <c r="E52" s="129"/>
      <c r="F52" s="129"/>
      <c r="G52" s="130">
        <v>0.03</v>
      </c>
      <c r="H52" s="131">
        <f>SUM($H$38*G52)</f>
        <v>34.023299999999999</v>
      </c>
    </row>
    <row r="53" spans="1:13" ht="15.75" x14ac:dyDescent="0.25">
      <c r="A53" s="1" t="s">
        <v>43</v>
      </c>
      <c r="B53" s="51" t="s">
        <v>63</v>
      </c>
      <c r="C53" s="51"/>
      <c r="D53" s="27"/>
      <c r="E53" s="27"/>
      <c r="F53" s="28"/>
      <c r="G53" s="52">
        <v>6.0000000000000001E-3</v>
      </c>
      <c r="H53" s="28">
        <f>SUM($H$38*G53)</f>
        <v>6.8046599999999993</v>
      </c>
      <c r="I53" s="121"/>
    </row>
    <row r="54" spans="1:13" ht="15.75" x14ac:dyDescent="0.25">
      <c r="A54" s="54"/>
      <c r="B54" s="55" t="s">
        <v>45</v>
      </c>
      <c r="C54" s="55"/>
      <c r="D54" s="40"/>
      <c r="E54" s="40"/>
      <c r="F54" s="56"/>
      <c r="G54" s="57">
        <f>SUM(G46:G53)</f>
        <v>0.3680000000000001</v>
      </c>
      <c r="H54" s="58">
        <f>SUM(H46:H53)</f>
        <v>417.35248000000001</v>
      </c>
    </row>
    <row r="55" spans="1:13" ht="15.75" x14ac:dyDescent="0.25">
      <c r="A55" s="110" t="s">
        <v>64</v>
      </c>
      <c r="B55" s="269" t="s">
        <v>65</v>
      </c>
      <c r="C55" s="269"/>
      <c r="D55" s="269"/>
      <c r="E55" s="269"/>
      <c r="F55" s="269"/>
      <c r="G55" s="269"/>
      <c r="H55" s="269"/>
    </row>
    <row r="56" spans="1:13" ht="15.75" x14ac:dyDescent="0.25">
      <c r="A56" s="6" t="s">
        <v>66</v>
      </c>
      <c r="B56" s="59"/>
      <c r="C56" s="59"/>
      <c r="D56" s="60" t="s">
        <v>67</v>
      </c>
      <c r="E56" s="60" t="s">
        <v>68</v>
      </c>
      <c r="F56" s="60" t="s">
        <v>69</v>
      </c>
      <c r="G56" s="60" t="s">
        <v>70</v>
      </c>
      <c r="H56" s="6"/>
    </row>
    <row r="57" spans="1:13" ht="15.75" x14ac:dyDescent="0.25">
      <c r="A57" s="270" t="s">
        <v>4</v>
      </c>
      <c r="B57" s="6" t="s">
        <v>71</v>
      </c>
      <c r="C57" s="6"/>
      <c r="D57" s="271"/>
      <c r="E57" s="272"/>
      <c r="F57" s="273"/>
      <c r="G57" s="274"/>
      <c r="H57" s="35">
        <f>F57*E57*D57</f>
        <v>0</v>
      </c>
    </row>
    <row r="58" spans="1:13" ht="15.75" x14ac:dyDescent="0.25">
      <c r="A58" s="270"/>
      <c r="B58" s="6" t="s">
        <v>72</v>
      </c>
      <c r="C58" s="6"/>
      <c r="D58" s="271"/>
      <c r="E58" s="271"/>
      <c r="F58" s="271"/>
      <c r="G58" s="271"/>
      <c r="H58" s="35">
        <f>H27*G57</f>
        <v>0</v>
      </c>
    </row>
    <row r="59" spans="1:13" ht="15.75" x14ac:dyDescent="0.25">
      <c r="A59" s="270"/>
      <c r="B59" s="8" t="s">
        <v>73</v>
      </c>
      <c r="C59" s="8"/>
      <c r="D59" s="8"/>
      <c r="E59" s="27"/>
      <c r="F59" s="27"/>
      <c r="G59" s="61"/>
      <c r="H59" s="35">
        <f>H57-H58</f>
        <v>0</v>
      </c>
    </row>
    <row r="60" spans="1:13" ht="15.75" x14ac:dyDescent="0.25">
      <c r="A60" s="270" t="s">
        <v>7</v>
      </c>
      <c r="B60" s="6" t="s">
        <v>74</v>
      </c>
      <c r="C60" s="6"/>
      <c r="D60" s="271">
        <v>1</v>
      </c>
      <c r="E60" s="272">
        <v>1</v>
      </c>
      <c r="F60" s="273">
        <v>0</v>
      </c>
      <c r="G60" s="274">
        <v>0.2</v>
      </c>
      <c r="H60" s="35">
        <f>F60*E60*D60</f>
        <v>0</v>
      </c>
    </row>
    <row r="61" spans="1:13" ht="15.75" x14ac:dyDescent="0.25">
      <c r="A61" s="270"/>
      <c r="B61" s="6" t="s">
        <v>72</v>
      </c>
      <c r="C61" s="6"/>
      <c r="D61" s="271"/>
      <c r="E61" s="271"/>
      <c r="F61" s="271"/>
      <c r="G61" s="271"/>
      <c r="H61" s="35">
        <f>H60*G60</f>
        <v>0</v>
      </c>
    </row>
    <row r="62" spans="1:13" ht="15.75" x14ac:dyDescent="0.25">
      <c r="A62" s="270"/>
      <c r="B62" s="275" t="s">
        <v>75</v>
      </c>
      <c r="C62" s="275"/>
      <c r="D62" s="275"/>
      <c r="E62" s="275"/>
      <c r="F62" s="13"/>
      <c r="G62" s="13"/>
      <c r="H62" s="35">
        <f>H60-H61</f>
        <v>0</v>
      </c>
    </row>
    <row r="63" spans="1:13" ht="15.75" x14ac:dyDescent="0.25">
      <c r="A63" s="62" t="s">
        <v>9</v>
      </c>
      <c r="B63" s="275" t="s">
        <v>76</v>
      </c>
      <c r="C63" s="275"/>
      <c r="D63" s="275"/>
      <c r="E63" s="275"/>
      <c r="F63" s="13"/>
      <c r="G63" s="13"/>
      <c r="H63" s="35">
        <v>0</v>
      </c>
    </row>
    <row r="64" spans="1:13" ht="15.75" x14ac:dyDescent="0.25">
      <c r="A64" s="62" t="s">
        <v>17</v>
      </c>
      <c r="B64" s="117" t="s">
        <v>177</v>
      </c>
      <c r="C64" s="117"/>
      <c r="D64" s="117"/>
      <c r="E64" s="117" t="s">
        <v>163</v>
      </c>
      <c r="F64" s="13"/>
      <c r="G64" s="13"/>
      <c r="H64" s="35">
        <v>100</v>
      </c>
      <c r="J64" s="125"/>
      <c r="K64" s="13"/>
      <c r="L64" s="13"/>
      <c r="M64" s="35"/>
    </row>
    <row r="65" spans="1:13" ht="15.75" x14ac:dyDescent="0.25">
      <c r="A65" s="62" t="s">
        <v>40</v>
      </c>
      <c r="B65" s="116" t="s">
        <v>224</v>
      </c>
      <c r="C65" s="117"/>
      <c r="D65" s="117"/>
      <c r="E65" s="117"/>
      <c r="F65" s="13"/>
      <c r="G65" s="13"/>
      <c r="H65" s="35">
        <v>3.53</v>
      </c>
      <c r="J65" s="148"/>
      <c r="K65" s="13"/>
      <c r="L65" s="13"/>
      <c r="M65" s="35"/>
    </row>
    <row r="66" spans="1:13" ht="15.75" x14ac:dyDescent="0.25">
      <c r="A66" s="62" t="s">
        <v>42</v>
      </c>
      <c r="B66" s="116" t="s">
        <v>78</v>
      </c>
      <c r="C66" s="116"/>
      <c r="D66" s="116"/>
      <c r="E66" s="118">
        <v>0</v>
      </c>
      <c r="H66" s="35">
        <f>(1/12*(H27+H28+H30))*E66</f>
        <v>0</v>
      </c>
    </row>
    <row r="67" spans="1:13" ht="15.75" x14ac:dyDescent="0.25">
      <c r="A67" s="63"/>
      <c r="B67" s="276" t="s">
        <v>45</v>
      </c>
      <c r="C67" s="276"/>
      <c r="D67" s="276"/>
      <c r="E67" s="276"/>
      <c r="F67" s="64"/>
      <c r="G67" s="64"/>
      <c r="H67" s="65">
        <f>H59+H62+H63+H64+H66+H65</f>
        <v>103.53</v>
      </c>
    </row>
    <row r="68" spans="1:13" ht="15.75" x14ac:dyDescent="0.25">
      <c r="A68" s="269" t="s">
        <v>79</v>
      </c>
      <c r="B68" s="269"/>
      <c r="C68" s="269"/>
      <c r="D68" s="269"/>
      <c r="E68" s="269"/>
      <c r="F68" s="269"/>
      <c r="G68" s="269"/>
      <c r="H68" s="269"/>
    </row>
    <row r="69" spans="1:13" ht="15.75" x14ac:dyDescent="0.25">
      <c r="A69" s="62" t="s">
        <v>47</v>
      </c>
      <c r="B69" s="8" t="s">
        <v>80</v>
      </c>
      <c r="C69" s="8"/>
      <c r="D69" s="66"/>
      <c r="E69" s="66"/>
      <c r="F69" s="13"/>
      <c r="G69" s="13"/>
      <c r="H69" s="67">
        <f>H44</f>
        <v>316.963784664</v>
      </c>
    </row>
    <row r="70" spans="1:13" ht="15.75" x14ac:dyDescent="0.25">
      <c r="A70" s="62" t="s">
        <v>52</v>
      </c>
      <c r="B70" s="8" t="s">
        <v>81</v>
      </c>
      <c r="C70" s="8"/>
      <c r="D70" s="66"/>
      <c r="E70" s="66"/>
      <c r="F70" s="13"/>
      <c r="G70" s="13"/>
      <c r="H70" s="67">
        <f>H54</f>
        <v>417.35248000000001</v>
      </c>
    </row>
    <row r="71" spans="1:13" ht="15.75" x14ac:dyDescent="0.25">
      <c r="A71" s="62" t="s">
        <v>64</v>
      </c>
      <c r="B71" s="8" t="s">
        <v>82</v>
      </c>
      <c r="C71" s="8"/>
      <c r="D71" s="66"/>
      <c r="E71" s="66"/>
      <c r="F71" s="13"/>
      <c r="G71" s="13"/>
      <c r="H71" s="67">
        <f>H67</f>
        <v>103.53</v>
      </c>
    </row>
    <row r="72" spans="1:13" ht="15.75" x14ac:dyDescent="0.25">
      <c r="A72" s="63"/>
      <c r="B72" s="126" t="s">
        <v>45</v>
      </c>
      <c r="C72" s="126"/>
      <c r="D72" s="126"/>
      <c r="E72" s="126"/>
      <c r="F72" s="64"/>
      <c r="G72" s="64"/>
      <c r="H72" s="65">
        <f>SUM(H69:H71)</f>
        <v>837.84626466400005</v>
      </c>
    </row>
    <row r="73" spans="1:13" ht="15.75" x14ac:dyDescent="0.25">
      <c r="A73" s="68">
        <v>3</v>
      </c>
      <c r="B73" s="267" t="s">
        <v>83</v>
      </c>
      <c r="C73" s="267"/>
      <c r="D73" s="267"/>
      <c r="E73" s="267"/>
      <c r="F73" s="267"/>
      <c r="G73" s="267"/>
      <c r="H73" s="267"/>
    </row>
    <row r="74" spans="1:13" ht="15.75" x14ac:dyDescent="0.25">
      <c r="A74" s="1" t="s">
        <v>4</v>
      </c>
      <c r="B74" s="48" t="s">
        <v>84</v>
      </c>
      <c r="C74" s="48"/>
      <c r="D74" s="69"/>
      <c r="E74" s="69"/>
      <c r="F74" s="69"/>
      <c r="G74" s="45">
        <v>4.1999999999999997E-3</v>
      </c>
      <c r="H74" s="28">
        <f>SUM($H$38*G74)</f>
        <v>4.7632619999999992</v>
      </c>
      <c r="I74" s="115"/>
    </row>
    <row r="75" spans="1:13" ht="15.75" x14ac:dyDescent="0.25">
      <c r="A75" s="1" t="s">
        <v>7</v>
      </c>
      <c r="B75" s="48" t="s">
        <v>85</v>
      </c>
      <c r="C75" s="48"/>
      <c r="D75" s="27"/>
      <c r="E75" s="27"/>
      <c r="F75" s="28"/>
      <c r="G75" s="45">
        <f>G74*0.08</f>
        <v>3.3599999999999998E-4</v>
      </c>
      <c r="H75" s="28">
        <f>SUM($H$38*G75)</f>
        <v>0.38106095999999995</v>
      </c>
    </row>
    <row r="76" spans="1:13" ht="15.75" x14ac:dyDescent="0.25">
      <c r="A76" s="1" t="s">
        <v>9</v>
      </c>
      <c r="B76" s="48" t="s">
        <v>86</v>
      </c>
      <c r="C76" s="48"/>
      <c r="D76" s="70"/>
      <c r="E76" s="70"/>
      <c r="F76" s="70"/>
      <c r="G76" s="71">
        <v>2.0000000000000001E-4</v>
      </c>
      <c r="H76" s="72">
        <f>(ROUND(SUM($H$38*G76),2))</f>
        <v>0.23</v>
      </c>
    </row>
    <row r="77" spans="1:13" ht="15.75" x14ac:dyDescent="0.25">
      <c r="A77" s="1" t="s">
        <v>17</v>
      </c>
      <c r="B77" s="27" t="s">
        <v>87</v>
      </c>
      <c r="C77" s="27"/>
      <c r="D77" s="69"/>
      <c r="E77" s="69"/>
      <c r="F77" s="69"/>
      <c r="G77" s="45">
        <v>1.9400000000000001E-2</v>
      </c>
      <c r="H77" s="28">
        <f>SUM($H$38*G77)</f>
        <v>22.001733999999999</v>
      </c>
      <c r="I77" s="115"/>
    </row>
    <row r="78" spans="1:13" ht="15.75" x14ac:dyDescent="0.25">
      <c r="A78" s="1" t="s">
        <v>40</v>
      </c>
      <c r="B78" s="48" t="s">
        <v>226</v>
      </c>
      <c r="C78" s="48"/>
      <c r="D78" s="27"/>
      <c r="E78" s="27"/>
      <c r="F78" s="28"/>
      <c r="G78" s="45">
        <f>G77*G54</f>
        <v>7.1392000000000027E-3</v>
      </c>
      <c r="H78" s="28">
        <f>SUM($H$38*G78)</f>
        <v>8.0966381120000026</v>
      </c>
    </row>
    <row r="79" spans="1:13" ht="15.75" x14ac:dyDescent="0.25">
      <c r="A79" s="1" t="s">
        <v>42</v>
      </c>
      <c r="B79" s="27" t="s">
        <v>89</v>
      </c>
      <c r="C79" s="27"/>
      <c r="D79" s="70"/>
      <c r="E79" s="70"/>
      <c r="F79" s="70"/>
      <c r="G79" s="52">
        <v>1E-4</v>
      </c>
      <c r="H79" s="28">
        <f>SUM($H$38*G79)</f>
        <v>0.113411</v>
      </c>
    </row>
    <row r="80" spans="1:13" ht="15.75" x14ac:dyDescent="0.25">
      <c r="A80" s="73"/>
      <c r="B80" s="55" t="s">
        <v>45</v>
      </c>
      <c r="C80" s="55"/>
      <c r="D80" s="41"/>
      <c r="E80" s="41"/>
      <c r="F80" s="74"/>
      <c r="G80" s="57">
        <f>SUM(G74:G79)</f>
        <v>3.1375200000000006E-2</v>
      </c>
      <c r="H80" s="58">
        <f>SUM(H74:H79)</f>
        <v>35.586106072</v>
      </c>
    </row>
    <row r="81" spans="1:9" ht="15.75" x14ac:dyDescent="0.25">
      <c r="A81" s="44">
        <v>4</v>
      </c>
      <c r="B81" s="277" t="s">
        <v>90</v>
      </c>
      <c r="C81" s="277"/>
      <c r="D81" s="277"/>
      <c r="E81" s="277"/>
      <c r="F81" s="277"/>
      <c r="G81" s="277"/>
      <c r="H81" s="277"/>
    </row>
    <row r="82" spans="1:9" ht="15.75" x14ac:dyDescent="0.25">
      <c r="A82" s="75" t="s">
        <v>91</v>
      </c>
      <c r="B82" s="269" t="s">
        <v>237</v>
      </c>
      <c r="C82" s="269"/>
      <c r="D82" s="269"/>
      <c r="E82" s="269"/>
      <c r="F82" s="269"/>
      <c r="G82" s="269"/>
      <c r="H82" s="269"/>
    </row>
    <row r="83" spans="1:9" ht="15.75" x14ac:dyDescent="0.25">
      <c r="A83" s="12" t="s">
        <v>4</v>
      </c>
      <c r="B83" s="51" t="s">
        <v>227</v>
      </c>
      <c r="C83" s="51"/>
      <c r="D83" s="53"/>
      <c r="E83" s="53"/>
      <c r="F83" s="53"/>
      <c r="G83" s="45">
        <f>(G41+G42)/12</f>
        <v>1.7024999999999998E-2</v>
      </c>
      <c r="H83" s="28"/>
    </row>
    <row r="84" spans="1:9" ht="15.75" x14ac:dyDescent="0.25">
      <c r="A84" s="123" t="s">
        <v>7</v>
      </c>
      <c r="B84" s="51" t="s">
        <v>228</v>
      </c>
      <c r="C84" s="268" t="s">
        <v>95</v>
      </c>
      <c r="D84" s="76">
        <v>1</v>
      </c>
      <c r="E84" s="268" t="s">
        <v>96</v>
      </c>
      <c r="F84" s="77">
        <v>1</v>
      </c>
      <c r="G84" s="45">
        <f t="shared" ref="G84:G89" si="1">D84/360*F84</f>
        <v>2.7777777777777779E-3</v>
      </c>
      <c r="H84" s="28">
        <f>SUM(H$38*G84)</f>
        <v>3.1503055555555552</v>
      </c>
    </row>
    <row r="85" spans="1:9" ht="15.75" x14ac:dyDescent="0.25">
      <c r="A85" s="12" t="s">
        <v>9</v>
      </c>
      <c r="B85" s="51" t="s">
        <v>229</v>
      </c>
      <c r="C85" s="268"/>
      <c r="D85" s="76">
        <v>20</v>
      </c>
      <c r="E85" s="268"/>
      <c r="F85" s="77">
        <v>1.4999999999999999E-2</v>
      </c>
      <c r="G85" s="45">
        <f t="shared" si="1"/>
        <v>8.3333333333333328E-4</v>
      </c>
      <c r="H85" s="28">
        <f>SUM(H$38*G85)</f>
        <v>0.94509166666666655</v>
      </c>
    </row>
    <row r="86" spans="1:9" ht="15.75" x14ac:dyDescent="0.25">
      <c r="A86" s="12" t="s">
        <v>17</v>
      </c>
      <c r="B86" s="51" t="s">
        <v>230</v>
      </c>
      <c r="C86" s="268"/>
      <c r="D86" s="76">
        <v>15</v>
      </c>
      <c r="E86" s="268"/>
      <c r="F86" s="78">
        <v>1.3299999999999999E-2</v>
      </c>
      <c r="G86" s="45">
        <f t="shared" si="1"/>
        <v>5.5416666666666657E-4</v>
      </c>
      <c r="H86" s="28">
        <f>SUM(H$38*G86)</f>
        <v>0.62848595833333321</v>
      </c>
    </row>
    <row r="87" spans="1:9" ht="15.75" x14ac:dyDescent="0.25">
      <c r="A87" s="12" t="s">
        <v>40</v>
      </c>
      <c r="B87" s="51" t="s">
        <v>231</v>
      </c>
      <c r="C87" s="268"/>
      <c r="D87" s="76">
        <v>180</v>
      </c>
      <c r="E87" s="268"/>
      <c r="F87" s="77">
        <v>1.8599999999999998E-2</v>
      </c>
      <c r="G87" s="45">
        <f t="shared" si="1"/>
        <v>9.2999999999999992E-3</v>
      </c>
      <c r="H87" s="28">
        <f>SUM(H$38*G87)</f>
        <v>10.547222999999999</v>
      </c>
    </row>
    <row r="88" spans="1:9" ht="15.75" x14ac:dyDescent="0.25">
      <c r="A88" s="12" t="s">
        <v>42</v>
      </c>
      <c r="B88" s="51" t="s">
        <v>232</v>
      </c>
      <c r="C88" s="268"/>
      <c r="D88" s="79">
        <v>5</v>
      </c>
      <c r="E88" s="268"/>
      <c r="F88" s="80">
        <v>1</v>
      </c>
      <c r="G88" s="45">
        <f t="shared" si="1"/>
        <v>1.3888888888888888E-2</v>
      </c>
      <c r="H88" s="81">
        <f>SUM(H$38*G88)</f>
        <v>15.751527777777776</v>
      </c>
    </row>
    <row r="89" spans="1:9" ht="15.75" x14ac:dyDescent="0.25">
      <c r="A89" s="12" t="s">
        <v>61</v>
      </c>
      <c r="B89" s="51" t="s">
        <v>101</v>
      </c>
      <c r="C89" s="268"/>
      <c r="D89" s="79"/>
      <c r="E89" s="268"/>
      <c r="F89" s="82"/>
      <c r="G89" s="45">
        <f t="shared" si="1"/>
        <v>0</v>
      </c>
      <c r="H89" s="81"/>
    </row>
    <row r="90" spans="1:9" ht="15.75" x14ac:dyDescent="0.25">
      <c r="A90" s="19"/>
      <c r="B90" s="6" t="s">
        <v>102</v>
      </c>
      <c r="C90" s="6"/>
      <c r="D90" s="27"/>
      <c r="E90" s="27"/>
      <c r="F90" s="28"/>
      <c r="G90" s="45">
        <f>SUM(G83:G89)</f>
        <v>4.4379166666666664E-2</v>
      </c>
      <c r="H90" s="28">
        <f>SUM(H83:H89)</f>
        <v>31.02263395833333</v>
      </c>
      <c r="I90" s="115">
        <f>SUM(H84:H90)*G54</f>
        <v>22.832658593333338</v>
      </c>
    </row>
    <row r="91" spans="1:9" ht="15.75" x14ac:dyDescent="0.25">
      <c r="A91" s="12" t="s">
        <v>42</v>
      </c>
      <c r="B91" s="51" t="s">
        <v>103</v>
      </c>
      <c r="C91" s="51"/>
      <c r="D91" s="27"/>
      <c r="E91" s="27"/>
      <c r="F91" s="28"/>
      <c r="G91" s="45">
        <f>G90*G54</f>
        <v>1.6331533333333335E-2</v>
      </c>
      <c r="H91" s="28">
        <f>SUM(H90*G54)</f>
        <v>11.416329296666669</v>
      </c>
    </row>
    <row r="92" spans="1:9" ht="15.75" x14ac:dyDescent="0.25">
      <c r="A92" s="73"/>
      <c r="B92" s="55" t="s">
        <v>45</v>
      </c>
      <c r="C92" s="55"/>
      <c r="D92" s="41"/>
      <c r="E92" s="41"/>
      <c r="F92" s="74"/>
      <c r="G92" s="57">
        <f>G91+G90</f>
        <v>6.0710699999999999E-2</v>
      </c>
      <c r="H92" s="58">
        <f>SUM(H90:H91)</f>
        <v>42.438963254999997</v>
      </c>
    </row>
    <row r="93" spans="1:9" ht="15.75" x14ac:dyDescent="0.25">
      <c r="A93" s="75" t="s">
        <v>104</v>
      </c>
      <c r="B93" s="269" t="s">
        <v>233</v>
      </c>
      <c r="C93" s="269"/>
      <c r="D93" s="269"/>
      <c r="E93" s="269"/>
      <c r="F93" s="269"/>
      <c r="G93" s="269"/>
      <c r="H93" s="269"/>
    </row>
    <row r="94" spans="1:9" ht="15.75" x14ac:dyDescent="0.25">
      <c r="A94" s="12" t="s">
        <v>4</v>
      </c>
      <c r="B94" s="51" t="s">
        <v>235</v>
      </c>
      <c r="C94" s="51"/>
      <c r="D94" s="53"/>
      <c r="E94" s="53"/>
      <c r="F94" s="53"/>
      <c r="G94" s="52">
        <v>0</v>
      </c>
      <c r="H94" s="28">
        <f>SUM(H$38*G94)</f>
        <v>0</v>
      </c>
    </row>
    <row r="95" spans="1:9" ht="15.75" x14ac:dyDescent="0.25">
      <c r="A95" s="12" t="s">
        <v>7</v>
      </c>
      <c r="B95" s="51" t="s">
        <v>107</v>
      </c>
      <c r="C95" s="51"/>
      <c r="D95" s="53"/>
      <c r="E95" s="53"/>
      <c r="F95" s="53"/>
      <c r="G95" s="45">
        <f>G94*G54</f>
        <v>0</v>
      </c>
      <c r="H95" s="28">
        <f>SUM($H$38*G95)</f>
        <v>0</v>
      </c>
    </row>
    <row r="96" spans="1:9" ht="15.75" x14ac:dyDescent="0.25">
      <c r="A96" s="73"/>
      <c r="B96" s="55" t="s">
        <v>45</v>
      </c>
      <c r="C96" s="55"/>
      <c r="D96" s="41"/>
      <c r="E96" s="41"/>
      <c r="F96" s="74"/>
      <c r="G96" s="57">
        <f>G95+G94</f>
        <v>0</v>
      </c>
      <c r="H96" s="58">
        <f>SUM(H94:H95)</f>
        <v>0</v>
      </c>
    </row>
    <row r="97" spans="1:10" ht="15.75" x14ac:dyDescent="0.25">
      <c r="A97" s="269" t="s">
        <v>108</v>
      </c>
      <c r="B97" s="269"/>
      <c r="C97" s="269"/>
      <c r="D97" s="269"/>
      <c r="E97" s="269"/>
      <c r="F97" s="269"/>
      <c r="G97" s="269"/>
      <c r="H97" s="269"/>
    </row>
    <row r="98" spans="1:10" ht="15.75" x14ac:dyDescent="0.25">
      <c r="A98" s="12" t="s">
        <v>91</v>
      </c>
      <c r="B98" s="51" t="s">
        <v>236</v>
      </c>
      <c r="C98" s="51"/>
      <c r="D98" s="53"/>
      <c r="E98" s="53"/>
      <c r="F98" s="53"/>
      <c r="G98" s="45">
        <f>G92</f>
        <v>6.0710699999999999E-2</v>
      </c>
      <c r="H98" s="28">
        <f>H92</f>
        <v>42.438963254999997</v>
      </c>
    </row>
    <row r="99" spans="1:10" ht="15.75" x14ac:dyDescent="0.25">
      <c r="A99" s="12" t="s">
        <v>104</v>
      </c>
      <c r="B99" s="51" t="s">
        <v>234</v>
      </c>
      <c r="C99" s="51"/>
      <c r="D99" s="53"/>
      <c r="E99" s="53"/>
      <c r="F99" s="53"/>
      <c r="G99" s="45">
        <f>G96</f>
        <v>0</v>
      </c>
      <c r="H99" s="28">
        <f>H96</f>
        <v>0</v>
      </c>
    </row>
    <row r="100" spans="1:10" ht="15.75" x14ac:dyDescent="0.25">
      <c r="A100" s="73"/>
      <c r="B100" s="55" t="s">
        <v>45</v>
      </c>
      <c r="C100" s="55"/>
      <c r="D100" s="41"/>
      <c r="E100" s="41"/>
      <c r="F100" s="74"/>
      <c r="G100" s="57">
        <f>G96+G92</f>
        <v>6.0710699999999999E-2</v>
      </c>
      <c r="H100" s="58">
        <f>SUM(H98:H99)</f>
        <v>42.438963254999997</v>
      </c>
    </row>
    <row r="101" spans="1:10" ht="15.75" x14ac:dyDescent="0.25">
      <c r="A101" s="83">
        <v>5</v>
      </c>
      <c r="B101" s="269" t="s">
        <v>110</v>
      </c>
      <c r="C101" s="269"/>
      <c r="D101" s="269"/>
      <c r="E101" s="269"/>
      <c r="F101" s="269"/>
      <c r="G101" s="269"/>
      <c r="H101" s="269"/>
    </row>
    <row r="102" spans="1:10" ht="15.75" x14ac:dyDescent="0.25">
      <c r="A102" s="12" t="s">
        <v>4</v>
      </c>
      <c r="B102" s="13" t="s">
        <v>111</v>
      </c>
      <c r="C102" s="13"/>
      <c r="D102" s="84"/>
      <c r="E102" s="27"/>
      <c r="F102" s="85"/>
      <c r="G102" s="85"/>
      <c r="H102" s="85">
        <v>34.33</v>
      </c>
    </row>
    <row r="103" spans="1:10" ht="15.75" x14ac:dyDescent="0.25">
      <c r="A103" s="12" t="s">
        <v>7</v>
      </c>
      <c r="B103" s="13" t="s">
        <v>112</v>
      </c>
      <c r="C103" s="13"/>
      <c r="D103" s="84"/>
      <c r="E103" s="27"/>
      <c r="F103" s="85"/>
      <c r="G103" s="85"/>
      <c r="H103" s="85"/>
    </row>
    <row r="104" spans="1:10" ht="15.75" x14ac:dyDescent="0.25">
      <c r="A104" s="12" t="s">
        <v>9</v>
      </c>
      <c r="B104" s="13" t="s">
        <v>113</v>
      </c>
      <c r="C104" s="13"/>
      <c r="D104" s="84"/>
      <c r="E104" s="27"/>
      <c r="F104" s="85"/>
      <c r="G104" s="85"/>
      <c r="H104" s="85">
        <v>403.32</v>
      </c>
    </row>
    <row r="105" spans="1:10" ht="15.75" x14ac:dyDescent="0.25">
      <c r="A105" s="12" t="s">
        <v>17</v>
      </c>
      <c r="B105" s="13" t="s">
        <v>164</v>
      </c>
      <c r="C105" s="13"/>
      <c r="D105" s="84"/>
      <c r="E105" s="27"/>
      <c r="F105" s="85"/>
      <c r="G105" s="85"/>
      <c r="H105" s="85">
        <v>107.9</v>
      </c>
    </row>
    <row r="106" spans="1:10" ht="15.75" x14ac:dyDescent="0.25">
      <c r="A106" s="12" t="s">
        <v>40</v>
      </c>
      <c r="B106" s="13" t="s">
        <v>101</v>
      </c>
      <c r="C106" s="13"/>
      <c r="D106" s="84"/>
      <c r="E106" s="27"/>
      <c r="F106" s="85"/>
      <c r="G106" s="85"/>
      <c r="H106" s="85">
        <v>0</v>
      </c>
    </row>
    <row r="107" spans="1:10" ht="15.75" x14ac:dyDescent="0.25">
      <c r="A107" s="73"/>
      <c r="B107" s="55" t="s">
        <v>45</v>
      </c>
      <c r="C107" s="55"/>
      <c r="D107" s="41"/>
      <c r="E107" s="41"/>
      <c r="F107" s="74"/>
      <c r="G107" s="57"/>
      <c r="H107" s="58">
        <f>SUM(H102:H106)</f>
        <v>545.54999999999995</v>
      </c>
    </row>
    <row r="108" spans="1:10" ht="15.75" x14ac:dyDescent="0.25">
      <c r="A108" s="83">
        <v>6</v>
      </c>
      <c r="B108" s="269" t="s">
        <v>114</v>
      </c>
      <c r="C108" s="269"/>
      <c r="D108" s="269"/>
      <c r="E108" s="269"/>
      <c r="F108" s="269"/>
      <c r="G108" s="269"/>
      <c r="H108" s="269"/>
    </row>
    <row r="109" spans="1:10" ht="15.75" x14ac:dyDescent="0.25">
      <c r="A109" s="86" t="s">
        <v>4</v>
      </c>
      <c r="B109" s="27"/>
      <c r="C109" s="27"/>
      <c r="D109" s="27"/>
      <c r="E109" s="27"/>
      <c r="F109" s="27" t="s">
        <v>115</v>
      </c>
      <c r="G109" s="52">
        <v>0.01</v>
      </c>
      <c r="H109" s="28">
        <f>G109*H124</f>
        <v>25.955313339909999</v>
      </c>
    </row>
    <row r="110" spans="1:10" ht="15.75" x14ac:dyDescent="0.25">
      <c r="A110" s="86" t="s">
        <v>7</v>
      </c>
      <c r="B110" s="27"/>
      <c r="C110" s="27"/>
      <c r="D110" s="27"/>
      <c r="E110" s="27"/>
      <c r="F110" s="12" t="s">
        <v>116</v>
      </c>
      <c r="G110" s="52">
        <v>0.01</v>
      </c>
      <c r="H110" s="28">
        <f>(H109+H124)*$G$110</f>
        <v>26.214866473309097</v>
      </c>
    </row>
    <row r="111" spans="1:10" ht="15.75" x14ac:dyDescent="0.25">
      <c r="A111" s="86" t="s">
        <v>9</v>
      </c>
      <c r="B111" s="27"/>
      <c r="C111" s="27"/>
      <c r="D111" s="27"/>
      <c r="E111" s="27"/>
      <c r="F111" s="12" t="s">
        <v>117</v>
      </c>
      <c r="G111" s="87">
        <f>SUM(G112:G116)</f>
        <v>8.6499999999999994E-2</v>
      </c>
      <c r="H111" s="28">
        <f>H113+H114+H116</f>
        <v>250.71284175595505</v>
      </c>
    </row>
    <row r="112" spans="1:10" ht="15.75" x14ac:dyDescent="0.25">
      <c r="A112" s="86" t="s">
        <v>118</v>
      </c>
      <c r="B112" s="27"/>
      <c r="C112" s="27"/>
      <c r="D112" s="27"/>
      <c r="E112" s="27"/>
      <c r="F112" s="88" t="s">
        <v>119</v>
      </c>
      <c r="G112" s="45">
        <v>0</v>
      </c>
      <c r="H112" s="28">
        <f>SUM(H$126*$G$112)</f>
        <v>0</v>
      </c>
      <c r="J112" s="120"/>
    </row>
    <row r="113" spans="1:9" ht="15.75" x14ac:dyDescent="0.25">
      <c r="A113" s="86" t="s">
        <v>120</v>
      </c>
      <c r="B113" s="27"/>
      <c r="C113" s="27"/>
      <c r="D113" s="27"/>
      <c r="E113" s="27"/>
      <c r="F113" s="88" t="s">
        <v>121</v>
      </c>
      <c r="G113" s="52">
        <v>6.4999999999999997E-3</v>
      </c>
      <c r="H113" s="28">
        <f>((H109+H110+H124)/0.9135)*G113</f>
        <v>18.839693311141129</v>
      </c>
    </row>
    <row r="114" spans="1:9" ht="15.75" x14ac:dyDescent="0.25">
      <c r="A114" s="86" t="s">
        <v>122</v>
      </c>
      <c r="B114" s="27"/>
      <c r="C114" s="27"/>
      <c r="D114" s="27"/>
      <c r="E114" s="27"/>
      <c r="F114" s="88" t="s">
        <v>123</v>
      </c>
      <c r="G114" s="52">
        <v>0.03</v>
      </c>
      <c r="H114" s="28">
        <f>((H109+H110+H124)/0.9135)*G114</f>
        <v>86.952430666805213</v>
      </c>
    </row>
    <row r="115" spans="1:9" ht="15.75" x14ac:dyDescent="0.25">
      <c r="A115" s="86" t="s">
        <v>124</v>
      </c>
      <c r="B115" s="27"/>
      <c r="C115" s="27"/>
      <c r="D115" s="27"/>
      <c r="E115" s="27"/>
      <c r="F115" s="88" t="s">
        <v>125</v>
      </c>
      <c r="G115" s="45">
        <v>0</v>
      </c>
      <c r="H115" s="28"/>
    </row>
    <row r="116" spans="1:9" ht="15.75" x14ac:dyDescent="0.25">
      <c r="A116" s="86" t="s">
        <v>126</v>
      </c>
      <c r="B116" s="27"/>
      <c r="C116" s="27"/>
      <c r="D116" s="27"/>
      <c r="E116" s="27"/>
      <c r="F116" s="88" t="s">
        <v>127</v>
      </c>
      <c r="G116" s="45">
        <v>0.05</v>
      </c>
      <c r="H116" s="28">
        <f>((H109+H110+H124)/0.9135)*G116</f>
        <v>144.92071777800871</v>
      </c>
    </row>
    <row r="117" spans="1:9" ht="15.75" x14ac:dyDescent="0.25">
      <c r="A117" s="73"/>
      <c r="B117" s="55" t="s">
        <v>45</v>
      </c>
      <c r="C117" s="55"/>
      <c r="D117" s="41"/>
      <c r="E117" s="41"/>
      <c r="F117" s="74"/>
      <c r="G117" s="57">
        <f>G111+G110+G109</f>
        <v>0.10649999999999998</v>
      </c>
      <c r="H117" s="58">
        <f>H109+H110+H111</f>
        <v>302.88302156917416</v>
      </c>
    </row>
    <row r="118" spans="1:9" ht="15.75" x14ac:dyDescent="0.25">
      <c r="A118" s="89"/>
      <c r="B118" s="267" t="s">
        <v>128</v>
      </c>
      <c r="C118" s="267"/>
      <c r="D118" s="267"/>
      <c r="E118" s="267"/>
      <c r="F118" s="267"/>
      <c r="G118" s="267"/>
      <c r="H118" s="267"/>
    </row>
    <row r="119" spans="1:9" ht="15.75" x14ac:dyDescent="0.25">
      <c r="A119" s="90" t="s">
        <v>4</v>
      </c>
      <c r="B119" s="27" t="s">
        <v>30</v>
      </c>
      <c r="C119" s="27"/>
      <c r="D119" s="27"/>
      <c r="E119" s="27"/>
      <c r="F119" s="28"/>
      <c r="G119" s="45">
        <f>SUM(H119/H$126)</f>
        <v>0.39128635897913616</v>
      </c>
      <c r="H119" s="28">
        <f>H38</f>
        <v>1134.1099999999999</v>
      </c>
    </row>
    <row r="120" spans="1:9" ht="15.75" x14ac:dyDescent="0.25">
      <c r="A120" s="90" t="s">
        <v>7</v>
      </c>
      <c r="B120" s="27" t="s">
        <v>129</v>
      </c>
      <c r="C120" s="27"/>
      <c r="D120" s="27"/>
      <c r="E120" s="27"/>
      <c r="F120" s="28"/>
      <c r="G120" s="45">
        <f>SUM(H120/H$126)</f>
        <v>0.28907056130767411</v>
      </c>
      <c r="H120" s="28">
        <f>H72</f>
        <v>837.84626466400005</v>
      </c>
    </row>
    <row r="121" spans="1:9" ht="15.75" x14ac:dyDescent="0.25">
      <c r="A121" s="90" t="s">
        <v>9</v>
      </c>
      <c r="B121" s="27" t="s">
        <v>130</v>
      </c>
      <c r="C121" s="27"/>
      <c r="D121" s="27"/>
      <c r="E121" s="27"/>
      <c r="F121" s="28"/>
      <c r="G121" s="45">
        <f>SUM(H121/H$126)</f>
        <v>1.2277784231827786E-2</v>
      </c>
      <c r="H121" s="28">
        <f>H80</f>
        <v>35.586106072</v>
      </c>
      <c r="I121" s="115">
        <f>H109+H110+H124</f>
        <v>2647.7015138042188</v>
      </c>
    </row>
    <row r="122" spans="1:9" ht="15.75" x14ac:dyDescent="0.25">
      <c r="A122" s="90" t="s">
        <v>17</v>
      </c>
      <c r="B122" s="27" t="s">
        <v>131</v>
      </c>
      <c r="C122" s="27"/>
      <c r="D122" s="27"/>
      <c r="E122" s="27"/>
      <c r="F122" s="28"/>
      <c r="G122" s="45">
        <f>SUM(H122/H$126)</f>
        <v>1.4642131196178765E-2</v>
      </c>
      <c r="H122" s="28">
        <f>H100</f>
        <v>42.438963254999997</v>
      </c>
      <c r="I122" s="115">
        <f>I121/0.9135</f>
        <v>2898.414355560174</v>
      </c>
    </row>
    <row r="123" spans="1:9" ht="15.75" x14ac:dyDescent="0.25">
      <c r="A123" s="90" t="s">
        <v>40</v>
      </c>
      <c r="B123" s="27" t="s">
        <v>110</v>
      </c>
      <c r="C123" s="27"/>
      <c r="D123" s="27"/>
      <c r="E123" s="27"/>
      <c r="F123" s="28"/>
      <c r="G123" s="45">
        <f>H123/H126</f>
        <v>0.18822360541840538</v>
      </c>
      <c r="H123" s="28">
        <f>H107</f>
        <v>545.54999999999995</v>
      </c>
    </row>
    <row r="124" spans="1:9" ht="15.75" x14ac:dyDescent="0.25">
      <c r="A124" s="90"/>
      <c r="B124" s="27" t="s">
        <v>132</v>
      </c>
      <c r="C124" s="27"/>
      <c r="D124" s="27"/>
      <c r="E124" s="27"/>
      <c r="F124" s="28"/>
      <c r="G124" s="45">
        <f>SUM(G119:G123)</f>
        <v>0.89550044113322214</v>
      </c>
      <c r="H124" s="28">
        <f>SUM(H119:H123)</f>
        <v>2595.5313339909999</v>
      </c>
    </row>
    <row r="125" spans="1:9" ht="15.75" x14ac:dyDescent="0.25">
      <c r="A125" s="90" t="s">
        <v>40</v>
      </c>
      <c r="B125" s="27" t="s">
        <v>133</v>
      </c>
      <c r="C125" s="27"/>
      <c r="D125" s="27"/>
      <c r="E125" s="27"/>
      <c r="F125" s="28"/>
      <c r="G125" s="45">
        <f>SUM(H125/H$126)</f>
        <v>0.10449955886677777</v>
      </c>
      <c r="H125" s="28">
        <f>H117</f>
        <v>302.88302156917416</v>
      </c>
    </row>
    <row r="126" spans="1:9" ht="15.75" x14ac:dyDescent="0.25">
      <c r="A126" s="55"/>
      <c r="B126" s="55" t="s">
        <v>134</v>
      </c>
      <c r="C126" s="55"/>
      <c r="D126" s="55"/>
      <c r="E126" s="55"/>
      <c r="F126" s="55"/>
      <c r="G126" s="55">
        <f>SUM(G124+G125)</f>
        <v>0.99999999999999989</v>
      </c>
      <c r="H126" s="91">
        <f>H125+H124</f>
        <v>2898.414355560174</v>
      </c>
    </row>
    <row r="127" spans="1:9" ht="15.75" x14ac:dyDescent="0.25">
      <c r="A127" s="92"/>
      <c r="B127" s="267" t="s">
        <v>135</v>
      </c>
      <c r="C127" s="267"/>
      <c r="D127" s="267"/>
      <c r="E127" s="267"/>
      <c r="F127" s="267"/>
      <c r="G127" s="267"/>
      <c r="H127" s="267"/>
    </row>
    <row r="128" spans="1:9" ht="47.25" x14ac:dyDescent="0.25">
      <c r="A128" s="27"/>
      <c r="B128" s="16" t="s">
        <v>20</v>
      </c>
      <c r="C128" s="16"/>
      <c r="D128" s="93" t="s">
        <v>136</v>
      </c>
      <c r="E128" s="93" t="s">
        <v>137</v>
      </c>
      <c r="F128" s="94" t="s">
        <v>138</v>
      </c>
      <c r="G128" s="93" t="s">
        <v>139</v>
      </c>
      <c r="H128" s="95" t="s">
        <v>140</v>
      </c>
    </row>
    <row r="129" spans="1:8" ht="15.75" x14ac:dyDescent="0.25">
      <c r="A129" s="27"/>
      <c r="B129" s="3" t="s">
        <v>141</v>
      </c>
      <c r="C129" s="3"/>
      <c r="D129" s="3" t="s">
        <v>142</v>
      </c>
      <c r="E129" s="96" t="s">
        <v>143</v>
      </c>
      <c r="F129" s="97" t="s">
        <v>144</v>
      </c>
      <c r="G129" s="3" t="s">
        <v>145</v>
      </c>
      <c r="H129" s="98" t="s">
        <v>146</v>
      </c>
    </row>
    <row r="130" spans="1:8" ht="15.75" x14ac:dyDescent="0.25">
      <c r="A130" s="1"/>
      <c r="B130" s="14"/>
      <c r="C130" s="14"/>
      <c r="D130" s="99">
        <f>SUM(H126)</f>
        <v>2898.414355560174</v>
      </c>
      <c r="E130" s="100">
        <v>3</v>
      </c>
      <c r="F130" s="99">
        <f>D130*E130</f>
        <v>8695.243066680523</v>
      </c>
      <c r="G130" s="101">
        <v>1</v>
      </c>
      <c r="H130" s="28">
        <f>E130*D130</f>
        <v>8695.243066680523</v>
      </c>
    </row>
    <row r="131" spans="1:8" ht="15.75" x14ac:dyDescent="0.25">
      <c r="A131" s="27"/>
      <c r="B131" s="102" t="s">
        <v>147</v>
      </c>
      <c r="C131" s="102"/>
      <c r="D131" s="103"/>
      <c r="E131" s="103"/>
      <c r="F131" s="103"/>
      <c r="G131" s="103"/>
      <c r="H131" s="104">
        <f>SUM(H130)</f>
        <v>8695.243066680523</v>
      </c>
    </row>
    <row r="132" spans="1:8" ht="15.75" x14ac:dyDescent="0.25">
      <c r="A132" s="27"/>
      <c r="B132" s="16"/>
      <c r="C132" s="16"/>
      <c r="D132" s="105"/>
      <c r="E132" s="16"/>
      <c r="F132" s="16"/>
      <c r="G132" s="16"/>
      <c r="H132" s="16"/>
    </row>
    <row r="133" spans="1:8" ht="15.75" x14ac:dyDescent="0.25">
      <c r="A133" s="83"/>
      <c r="B133" s="267" t="s">
        <v>148</v>
      </c>
      <c r="C133" s="267"/>
      <c r="D133" s="267"/>
      <c r="E133" s="267"/>
      <c r="F133" s="267"/>
      <c r="G133" s="267"/>
      <c r="H133" s="267"/>
    </row>
    <row r="134" spans="1:8" ht="15.75" x14ac:dyDescent="0.25">
      <c r="A134" s="106"/>
      <c r="B134" s="106" t="s">
        <v>149</v>
      </c>
      <c r="C134" s="106"/>
      <c r="D134" s="106"/>
      <c r="E134" s="16"/>
      <c r="F134" s="16"/>
      <c r="G134" s="16"/>
      <c r="H134" s="107" t="s">
        <v>150</v>
      </c>
    </row>
    <row r="135" spans="1:8" ht="15.75" x14ac:dyDescent="0.25">
      <c r="A135" s="108" t="s">
        <v>4</v>
      </c>
      <c r="B135" s="109" t="s">
        <v>151</v>
      </c>
      <c r="C135" s="109"/>
      <c r="D135" s="109"/>
      <c r="E135" s="13"/>
      <c r="F135" s="13"/>
      <c r="G135" s="13"/>
      <c r="H135" s="107">
        <f>D130</f>
        <v>2898.414355560174</v>
      </c>
    </row>
    <row r="136" spans="1:8" ht="15.75" x14ac:dyDescent="0.25">
      <c r="A136" s="108" t="s">
        <v>7</v>
      </c>
      <c r="B136" s="109" t="s">
        <v>152</v>
      </c>
      <c r="C136" s="109"/>
      <c r="D136" s="109"/>
      <c r="E136" s="13"/>
      <c r="F136" s="13"/>
      <c r="G136" s="13"/>
      <c r="H136" s="107">
        <f>H131</f>
        <v>8695.243066680523</v>
      </c>
    </row>
    <row r="137" spans="1:8" ht="15.75" x14ac:dyDescent="0.25">
      <c r="A137" s="108" t="s">
        <v>17</v>
      </c>
      <c r="B137" s="7" t="s">
        <v>153</v>
      </c>
      <c r="C137" s="7"/>
      <c r="D137" s="109"/>
      <c r="E137" s="13"/>
      <c r="F137" s="13"/>
      <c r="G137" s="100">
        <v>12</v>
      </c>
      <c r="H137" s="107">
        <f>SUM(H136*G137)</f>
        <v>104342.91680016628</v>
      </c>
    </row>
    <row r="138" spans="1:8" ht="15.75" x14ac:dyDescent="0.25">
      <c r="A138" s="6"/>
      <c r="B138" s="6"/>
      <c r="C138" s="6"/>
      <c r="D138" s="6"/>
      <c r="E138" s="6"/>
      <c r="F138" s="6"/>
      <c r="G138" s="6"/>
      <c r="H138" s="6"/>
    </row>
    <row r="141" spans="1:8" x14ac:dyDescent="0.25">
      <c r="A141" s="149" t="s">
        <v>204</v>
      </c>
      <c r="B141" s="149"/>
    </row>
    <row r="142" spans="1:8" x14ac:dyDescent="0.25">
      <c r="A142" s="149" t="s">
        <v>205</v>
      </c>
      <c r="B142" s="149"/>
    </row>
    <row r="143" spans="1:8" x14ac:dyDescent="0.25">
      <c r="A143" s="149" t="s">
        <v>206</v>
      </c>
      <c r="B143" s="149"/>
    </row>
    <row r="144" spans="1:8" x14ac:dyDescent="0.25">
      <c r="A144" s="149"/>
      <c r="B144" s="149"/>
    </row>
    <row r="145" spans="1:6" x14ac:dyDescent="0.25">
      <c r="A145" s="149" t="s">
        <v>207</v>
      </c>
      <c r="B145" s="149"/>
    </row>
    <row r="147" spans="1:6" x14ac:dyDescent="0.25">
      <c r="A147" t="s">
        <v>208</v>
      </c>
    </row>
    <row r="148" spans="1:6" x14ac:dyDescent="0.25">
      <c r="A148" s="149" t="s">
        <v>209</v>
      </c>
    </row>
    <row r="149" spans="1:6" x14ac:dyDescent="0.25">
      <c r="A149" s="149" t="s">
        <v>210</v>
      </c>
    </row>
    <row r="150" spans="1:6" x14ac:dyDescent="0.25">
      <c r="A150" s="149"/>
    </row>
    <row r="151" spans="1:6" x14ac:dyDescent="0.25">
      <c r="A151" s="149" t="s">
        <v>211</v>
      </c>
    </row>
    <row r="152" spans="1:6" x14ac:dyDescent="0.25">
      <c r="A152" s="149"/>
    </row>
    <row r="153" spans="1:6" x14ac:dyDescent="0.25">
      <c r="A153" s="149" t="s">
        <v>212</v>
      </c>
    </row>
    <row r="154" spans="1:6" x14ac:dyDescent="0.25">
      <c r="A154" s="149" t="s">
        <v>213</v>
      </c>
    </row>
    <row r="155" spans="1:6" x14ac:dyDescent="0.25">
      <c r="A155" s="149"/>
    </row>
    <row r="156" spans="1:6" x14ac:dyDescent="0.25">
      <c r="A156" s="149" t="s">
        <v>207</v>
      </c>
    </row>
    <row r="157" spans="1:6" x14ac:dyDescent="0.25">
      <c r="A157" s="149" t="s">
        <v>223</v>
      </c>
    </row>
    <row r="158" spans="1:6" x14ac:dyDescent="0.25">
      <c r="B158" s="150" t="s">
        <v>214</v>
      </c>
      <c r="C158" s="151"/>
      <c r="D158" s="151"/>
      <c r="E158" s="151"/>
      <c r="F158" s="151"/>
    </row>
    <row r="159" spans="1:6" x14ac:dyDescent="0.25">
      <c r="B159" s="150"/>
      <c r="C159" s="151"/>
      <c r="D159" s="151"/>
      <c r="E159" s="151"/>
      <c r="F159" s="151"/>
    </row>
    <row r="160" spans="1:6" x14ac:dyDescent="0.25">
      <c r="B160" s="150" t="s">
        <v>215</v>
      </c>
      <c r="C160" s="151" t="s">
        <v>216</v>
      </c>
      <c r="D160" s="151" t="s">
        <v>217</v>
      </c>
      <c r="E160" s="151" t="s">
        <v>218</v>
      </c>
      <c r="F160" s="151" t="s">
        <v>219</v>
      </c>
    </row>
    <row r="161" spans="1:6" x14ac:dyDescent="0.25">
      <c r="B161" s="150" t="s">
        <v>220</v>
      </c>
      <c r="C161" s="152">
        <v>1.6500000000000001E-2</v>
      </c>
      <c r="D161" s="152">
        <v>7.5999999999999998E-2</v>
      </c>
      <c r="E161" s="153">
        <v>0.05</v>
      </c>
      <c r="F161" s="151">
        <v>0.85750000000000004</v>
      </c>
    </row>
    <row r="162" spans="1:6" x14ac:dyDescent="0.25">
      <c r="B162" s="150" t="s">
        <v>221</v>
      </c>
      <c r="C162" s="152">
        <v>6.4999999999999997E-3</v>
      </c>
      <c r="D162" s="153">
        <v>0.03</v>
      </c>
      <c r="E162" s="153">
        <v>0.05</v>
      </c>
      <c r="F162" s="151">
        <v>0.91349999999999998</v>
      </c>
    </row>
    <row r="163" spans="1:6" x14ac:dyDescent="0.25">
      <c r="B163" s="150" t="s">
        <v>222</v>
      </c>
      <c r="C163" s="152">
        <v>4.4000000000000003E-3</v>
      </c>
      <c r="D163" s="152">
        <v>2.35E-2</v>
      </c>
      <c r="E163" s="153">
        <v>0.05</v>
      </c>
      <c r="F163" s="151">
        <v>0.92210000000000003</v>
      </c>
    </row>
    <row r="165" spans="1:6" x14ac:dyDescent="0.25">
      <c r="A165" s="155" t="s">
        <v>225</v>
      </c>
    </row>
  </sheetData>
  <mergeCells count="51">
    <mergeCell ref="B118:H118"/>
    <mergeCell ref="B127:H127"/>
    <mergeCell ref="B133:H133"/>
    <mergeCell ref="C84:C89"/>
    <mergeCell ref="E84:E89"/>
    <mergeCell ref="B93:H93"/>
    <mergeCell ref="A97:H97"/>
    <mergeCell ref="B101:H101"/>
    <mergeCell ref="B108:H108"/>
    <mergeCell ref="B82:H82"/>
    <mergeCell ref="A60:A62"/>
    <mergeCell ref="D60:D61"/>
    <mergeCell ref="E60:E61"/>
    <mergeCell ref="F60:F61"/>
    <mergeCell ref="G60:G61"/>
    <mergeCell ref="B62:E62"/>
    <mergeCell ref="B63:E63"/>
    <mergeCell ref="B67:E67"/>
    <mergeCell ref="A68:H68"/>
    <mergeCell ref="B73:H73"/>
    <mergeCell ref="B81:H81"/>
    <mergeCell ref="B55:H55"/>
    <mergeCell ref="A57:A59"/>
    <mergeCell ref="D57:D58"/>
    <mergeCell ref="E57:E58"/>
    <mergeCell ref="F57:F58"/>
    <mergeCell ref="G57:G58"/>
    <mergeCell ref="D47:E48"/>
    <mergeCell ref="E18:H18"/>
    <mergeCell ref="B19:H19"/>
    <mergeCell ref="A20:H20"/>
    <mergeCell ref="D21:H21"/>
    <mergeCell ref="D22:H22"/>
    <mergeCell ref="D24:H24"/>
    <mergeCell ref="D25:H25"/>
    <mergeCell ref="B26:H26"/>
    <mergeCell ref="B39:H39"/>
    <mergeCell ref="B40:H40"/>
    <mergeCell ref="B45:H45"/>
    <mergeCell ref="E17:H17"/>
    <mergeCell ref="A3:H3"/>
    <mergeCell ref="E4:H6"/>
    <mergeCell ref="A7:D7"/>
    <mergeCell ref="A8:H8"/>
    <mergeCell ref="D9:H9"/>
    <mergeCell ref="D10:H10"/>
    <mergeCell ref="D11:H11"/>
    <mergeCell ref="D12:H12"/>
    <mergeCell ref="A14:H14"/>
    <mergeCell ref="E15:H15"/>
    <mergeCell ref="E16:H16"/>
  </mergeCells>
  <dataValidations count="4">
    <dataValidation type="list" operator="equal" allowBlank="1" showErrorMessage="1" sqref="D28">
      <formula1>$J$33:$J$34</formula1>
      <formula2>0</formula2>
    </dataValidation>
    <dataValidation type="list" operator="equal" allowBlank="1" showErrorMessage="1" sqref="E28">
      <formula1>$K$33:$K$34</formula1>
      <formula2>0</formula2>
    </dataValidation>
    <dataValidation type="list" operator="equal" allowBlank="1" showErrorMessage="1" sqref="D31">
      <formula1>$J$28:$J$31</formula1>
      <formula2>0</formula2>
    </dataValidation>
    <dataValidation type="list" operator="equal" allowBlank="1" showErrorMessage="1" promptTitle="Percentual" sqref="E31">
      <formula1>$K$28:$K$31</formula1>
      <formula2>0</formula2>
    </dataValidation>
  </dataValidations>
  <pageMargins left="0.7" right="0.7" top="0.75" bottom="0.75" header="0.3" footer="0.3"/>
  <pageSetup scale="45"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17</vt:i4>
      </vt:variant>
      <vt:variant>
        <vt:lpstr>Intervalos nomeados</vt:lpstr>
      </vt:variant>
      <vt:variant>
        <vt:i4>3</vt:i4>
      </vt:variant>
    </vt:vector>
  </HeadingPairs>
  <TitlesOfParts>
    <vt:vector size="20" baseType="lpstr">
      <vt:lpstr>ENCARREGADO</vt:lpstr>
      <vt:lpstr>ASG ANGICOS</vt:lpstr>
      <vt:lpstr>ALD ANGICOS</vt:lpstr>
      <vt:lpstr>JARDINEIRO ANGICOS</vt:lpstr>
      <vt:lpstr>ENCARREGADO ANGICOS</vt:lpstr>
      <vt:lpstr>COPEIRA ANGICOS</vt:lpstr>
      <vt:lpstr>ASG CARAÚBAS</vt:lpstr>
      <vt:lpstr>ALD CARAÚBAS</vt:lpstr>
      <vt:lpstr>JARDINEIRO CARAÚBAS</vt:lpstr>
      <vt:lpstr>ENCARREGADO CARAÚBAS</vt:lpstr>
      <vt:lpstr>COPEIRA CARAÚBAS</vt:lpstr>
      <vt:lpstr>ASG PAU DOS FERROS</vt:lpstr>
      <vt:lpstr>ALD PAU DOS FERROS</vt:lpstr>
      <vt:lpstr>COPEIRA PAU DOS FERROS</vt:lpstr>
      <vt:lpstr>ENCARREGADO PAU DOS FERROS</vt:lpstr>
      <vt:lpstr>JARDINEIRO PAU DOS FERROS</vt:lpstr>
      <vt:lpstr>RESUMO</vt:lpstr>
      <vt:lpstr>'ALD ANGICOS'!Com_Insalubridade</vt:lpstr>
      <vt:lpstr>'ALD CARAÚBAS'!Com_Insalubridade</vt:lpstr>
      <vt:lpstr>'ALD PAU DOS FERROS'!Com_Insalubridade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2021-04-15T15:47:18Z</dcterms:modified>
</cp:coreProperties>
</file>